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websiteutilities\"/>
    </mc:Choice>
  </mc:AlternateContent>
  <bookViews>
    <workbookView xWindow="0" yWindow="0" windowWidth="28800" windowHeight="12135" tabRatio="924" activeTab="1"/>
  </bookViews>
  <sheets>
    <sheet name="DECEMBER 2023" sheetId="252" r:id="rId1"/>
    <sheet name="NOVEMBER 2023 WEBSITE" sheetId="258" r:id="rId2"/>
    <sheet name="NOVEMBER 2023" sheetId="251" r:id="rId3"/>
    <sheet name="OCTERBER 2023 WEBSITE" sheetId="257" r:id="rId4"/>
    <sheet name="OCTOBER 2023" sheetId="250" r:id="rId5"/>
    <sheet name="SEPTEMBER 2023 WEBSITE" sheetId="256" r:id="rId6"/>
    <sheet name="SEPTEMBER 2023" sheetId="249" r:id="rId7"/>
    <sheet name="AUGUST 2023 WEBSITE" sheetId="255" r:id="rId8"/>
    <sheet name="AUGUST 2023" sheetId="245" r:id="rId9"/>
    <sheet name="JULY 2023 " sheetId="244" r:id="rId10"/>
    <sheet name="JUNE 2023 WEBSITE" sheetId="254" r:id="rId11"/>
    <sheet name="JUNE 2023" sheetId="242" r:id="rId12"/>
    <sheet name="MAY 2023 WEBSITE" sheetId="253" r:id="rId13"/>
    <sheet name="MAY 2023" sheetId="243" r:id="rId14"/>
    <sheet name="APRIL 2023 WEBSITE" sheetId="247" r:id="rId15"/>
    <sheet name="APRIL 2023" sheetId="239" r:id="rId16"/>
    <sheet name="MARCH 2023 WEBSITE" sheetId="246" r:id="rId17"/>
    <sheet name="MARCH 2023" sheetId="235" r:id="rId18"/>
    <sheet name="FEBRUARY 2023 WEBSITE" sheetId="241" r:id="rId19"/>
    <sheet name="FEBRUARY 2023" sheetId="234" r:id="rId20"/>
    <sheet name="JANUARY 2023 WEBSITE" sheetId="240" r:id="rId21"/>
    <sheet name="JANUARY 2023" sheetId="233" r:id="rId22"/>
    <sheet name="DECEMBER 2022 WEBSITE" sheetId="238" r:id="rId23"/>
    <sheet name="DECEMBER 2022" sheetId="231" r:id="rId24"/>
    <sheet name="NOVEMBER 2022 WEBSITE" sheetId="237" r:id="rId25"/>
    <sheet name="NOVEMBER 2022" sheetId="230" r:id="rId26"/>
    <sheet name="OCTOBER 2022 WEBSITE" sheetId="236" r:id="rId27"/>
    <sheet name="OCTOBER 2022" sheetId="228" r:id="rId28"/>
    <sheet name="SEPTEMBER 2022 WEBSITE" sheetId="232" r:id="rId29"/>
    <sheet name="SEPTEMBER 2022 " sheetId="224" r:id="rId30"/>
    <sheet name="AUGUST 2022 WEBSITE" sheetId="229" r:id="rId31"/>
    <sheet name="AUGUST 2022" sheetId="223" r:id="rId32"/>
    <sheet name="JULY 2022 WEBSITE" sheetId="227" r:id="rId33"/>
    <sheet name="JULY 2022" sheetId="222" r:id="rId34"/>
    <sheet name="JUNE 2022 WEBSITE " sheetId="226" r:id="rId35"/>
    <sheet name="JUNE 2022" sheetId="220" r:id="rId36"/>
    <sheet name="MAY 2022 WEBSITE" sheetId="225" r:id="rId37"/>
    <sheet name="MAY 2022" sheetId="219" r:id="rId38"/>
    <sheet name="APRIL 2022 WEBSITE" sheetId="221" r:id="rId39"/>
    <sheet name="APRIL 2022" sheetId="213" r:id="rId40"/>
    <sheet name="MARCH 2022 WEBSITE" sheetId="216" r:id="rId41"/>
    <sheet name="MARCH 2022" sheetId="212" r:id="rId42"/>
    <sheet name="FEBRUARY 2022 WEBSITE" sheetId="215" r:id="rId43"/>
    <sheet name="FEBRUARY 2022" sheetId="211" r:id="rId44"/>
    <sheet name="JANUARY 2022 WEBSITE" sheetId="214" r:id="rId45"/>
    <sheet name="JANUARY 2022" sheetId="207" r:id="rId46"/>
    <sheet name="DECEMBER 2021 WEBSITE" sheetId="210" r:id="rId47"/>
    <sheet name="DECEMBER 2021" sheetId="202" r:id="rId48"/>
    <sheet name="NOVEMBER 2021 WEBSITE" sheetId="209" r:id="rId49"/>
    <sheet name="NOVEMBER 2021" sheetId="201" r:id="rId50"/>
    <sheet name="OCTOBER 2021 WEBSITE" sheetId="206" r:id="rId51"/>
    <sheet name="OCTOBER 2021" sheetId="200" r:id="rId52"/>
    <sheet name="SEPTEMBER 2021 WEBSITE " sheetId="205" r:id="rId53"/>
    <sheet name="SEPTEMBER 2021" sheetId="199" r:id="rId54"/>
    <sheet name="AUGUST 2021 WEBSITE" sheetId="204" r:id="rId55"/>
    <sheet name="AUGUST 2021" sheetId="191" r:id="rId56"/>
    <sheet name="JULY WEBSITE 2021 " sheetId="203" r:id="rId57"/>
    <sheet name="JULY 2021" sheetId="190" r:id="rId58"/>
    <sheet name="JUNE WEBSITE 2021 " sheetId="196" r:id="rId59"/>
    <sheet name="JUNE 2021" sheetId="189" r:id="rId60"/>
    <sheet name="MAY WEBSITE 2021" sheetId="194" r:id="rId61"/>
    <sheet name="MAY 2021" sheetId="188" r:id="rId62"/>
    <sheet name="APRIL WEBSITE 2021" sheetId="193" r:id="rId63"/>
    <sheet name="APRIL 2021" sheetId="187" r:id="rId64"/>
    <sheet name="MARCH WEBSITE 2021" sheetId="192" r:id="rId65"/>
    <sheet name="MARCH 2021" sheetId="179" r:id="rId66"/>
    <sheet name="FEBRUARY WEBSITE 2021" sheetId="186" r:id="rId67"/>
    <sheet name="FEBURARY 2021" sheetId="178" r:id="rId68"/>
    <sheet name="JANUARY WEBSITE 2021" sheetId="185" r:id="rId69"/>
    <sheet name="JANUARY 2021" sheetId="177" r:id="rId70"/>
    <sheet name="DECEMBER WEBISTE 2020" sheetId="184" r:id="rId71"/>
    <sheet name="DECEMBER 2020" sheetId="176" r:id="rId72"/>
    <sheet name="NOVEMBER WEBSITE 2020" sheetId="183" r:id="rId73"/>
    <sheet name="NOVEMEBER 2020" sheetId="175" r:id="rId74"/>
    <sheet name="OCTOBER WEBSITE 2020" sheetId="182" r:id="rId75"/>
    <sheet name="OCTOBER 2020" sheetId="174" r:id="rId76"/>
    <sheet name="SEPTEMBER WEBSITE 2020" sheetId="181" r:id="rId77"/>
    <sheet name="SEPTEMBER 2020" sheetId="162" r:id="rId78"/>
    <sheet name="AUGUST WEBSITE 2020" sheetId="180" r:id="rId79"/>
    <sheet name="AUGUST 2020" sheetId="161" r:id="rId80"/>
    <sheet name="JULY WEBSITE 2020 " sheetId="168" r:id="rId81"/>
    <sheet name="JULY 2020" sheetId="160" r:id="rId82"/>
    <sheet name="JUNE WEBSITE 2020" sheetId="167" r:id="rId83"/>
    <sheet name="JUNE 2020" sheetId="159" r:id="rId84"/>
    <sheet name="MAY WEBSITE 2020" sheetId="166" r:id="rId85"/>
    <sheet name="MAY 2020" sheetId="158" r:id="rId86"/>
    <sheet name="APRIL WEBSITE 2020" sheetId="165" r:id="rId87"/>
    <sheet name="APRIL 2020" sheetId="157" r:id="rId88"/>
    <sheet name="MARCH WEBSITE 2020" sheetId="164" r:id="rId89"/>
    <sheet name="MARCH 2020" sheetId="156" r:id="rId90"/>
    <sheet name="FEBURARY WEBSITE 2020" sheetId="163" r:id="rId91"/>
    <sheet name="FEBURARY 2020" sheetId="151" r:id="rId92"/>
    <sheet name="JANUARY WEBSITE 2020" sheetId="155" r:id="rId93"/>
    <sheet name="JANUARY 2020" sheetId="150" r:id="rId94"/>
    <sheet name="DECEMBER WEBSITE 2019" sheetId="154" r:id="rId95"/>
    <sheet name="DECEMBER 2019" sheetId="149" r:id="rId96"/>
    <sheet name="NOVEMBER WEBSITE 2019" sheetId="153" r:id="rId97"/>
    <sheet name="NOVEMBER 2019" sheetId="148" r:id="rId98"/>
    <sheet name="OCTOBER WEBSITE 2019" sheetId="152" r:id="rId99"/>
    <sheet name="OCTOBER 2019" sheetId="138" r:id="rId100"/>
    <sheet name="SEPTEMBER WEBSITE 2019" sheetId="147" r:id="rId101"/>
    <sheet name="SEPTEMBER 2019" sheetId="137" r:id="rId102"/>
    <sheet name="AUGUST WEBSITE 2019" sheetId="146" r:id="rId103"/>
    <sheet name="AUGUST 2019" sheetId="136" r:id="rId104"/>
    <sheet name="JULY WEBSITE 2019" sheetId="145" r:id="rId105"/>
    <sheet name="JULY 2019" sheetId="135" r:id="rId106"/>
    <sheet name="JUNE WEBSITE 2019" sheetId="144" r:id="rId107"/>
    <sheet name="JUNE 2019" sheetId="134" r:id="rId108"/>
    <sheet name="MAY WEBSITE 2019" sheetId="143" r:id="rId109"/>
    <sheet name="MAY 2019" sheetId="128" r:id="rId110"/>
    <sheet name="APRIL WEBSITE 2019" sheetId="133" r:id="rId111"/>
    <sheet name="APRIL 2019" sheetId="127" r:id="rId112"/>
    <sheet name="MARCH WEBSITE 2019" sheetId="132" r:id="rId113"/>
    <sheet name="MARCH 2019" sheetId="126" r:id="rId114"/>
    <sheet name="FEBRUARY WEBSITE 2019" sheetId="131" r:id="rId115"/>
    <sheet name="FEBRUARY 2019" sheetId="125" r:id="rId116"/>
    <sheet name="JANUARY WEBSITE 2019" sheetId="130" r:id="rId117"/>
    <sheet name="JANUARY2019" sheetId="119" r:id="rId118"/>
    <sheet name="DECEMBER WEBSITE 2018" sheetId="129" r:id="rId119"/>
    <sheet name="DECEMBER2018" sheetId="118" r:id="rId120"/>
    <sheet name="NOVEMBER WEBSITE 2018" sheetId="124" r:id="rId121"/>
    <sheet name="NOVEMBER 2018" sheetId="117" r:id="rId122"/>
    <sheet name="OCTOBER WEBSITE 2018" sheetId="123" r:id="rId123"/>
    <sheet name="OCTOBER2018" sheetId="116" r:id="rId124"/>
    <sheet name="SEPTEMBER WEBSITE 2018" sheetId="122" r:id="rId125"/>
    <sheet name="SEPTEMBER2018" sheetId="115" r:id="rId126"/>
    <sheet name="AUGUST WEBSITE 2018" sheetId="121" r:id="rId127"/>
    <sheet name="AUGUST 2018" sheetId="114" r:id="rId128"/>
    <sheet name="JULY WEBSITE 2018" sheetId="120" r:id="rId129"/>
    <sheet name="JULY 2018" sheetId="108" r:id="rId130"/>
    <sheet name="JUNE WEBSITE 2018" sheetId="112" r:id="rId131"/>
    <sheet name="JUNE 2018" sheetId="107" r:id="rId132"/>
    <sheet name="MAY WEBSITE 2018" sheetId="111" r:id="rId133"/>
    <sheet name="MAY 2018" sheetId="106" r:id="rId134"/>
    <sheet name="APRIL WEBSITE 2018" sheetId="110" r:id="rId135"/>
    <sheet name="APRIL 2018" sheetId="105" r:id="rId136"/>
    <sheet name="MARCH WEBSITE 2018" sheetId="109" r:id="rId137"/>
    <sheet name="MARCH 2018" sheetId="103" r:id="rId138"/>
    <sheet name="FEBRUARY 2018 WEBSITE" sheetId="104" r:id="rId139"/>
    <sheet name="FEBRAURY 2018" sheetId="100" r:id="rId140"/>
    <sheet name="JANUARY 2018 WEBSITE" sheetId="102" r:id="rId141"/>
    <sheet name="JANUARY 2018" sheetId="88" r:id="rId142"/>
    <sheet name="DECEMBER WEBSITE 2017" sheetId="101" r:id="rId143"/>
    <sheet name="DECEMBER 2017" sheetId="81" r:id="rId144"/>
    <sheet name="NOVEMBER WEBSITE 2017" sheetId="87" r:id="rId145"/>
    <sheet name="NOVEMBER 2017" sheetId="80" r:id="rId146"/>
    <sheet name="OCTOBER WEBSITE 2017" sheetId="85" r:id="rId147"/>
    <sheet name="OCTOBER 2017" sheetId="82" r:id="rId148"/>
    <sheet name="SEPTEMBER WEBSITE 2017" sheetId="84" r:id="rId149"/>
    <sheet name="September 2017" sheetId="79" r:id="rId150"/>
    <sheet name="AUGUST WEBSITE 2017" sheetId="83" r:id="rId151"/>
    <sheet name="AUGUST 2017" sheetId="76" r:id="rId152"/>
    <sheet name="JULY WEBSITE 2017" sheetId="78" r:id="rId153"/>
    <sheet name="JULY 2017" sheetId="68" r:id="rId154"/>
    <sheet name="JUNE WEBSITE 2017" sheetId="77" r:id="rId155"/>
    <sheet name="JUNE 2017" sheetId="67" r:id="rId156"/>
    <sheet name="MAY WEBSITE 2017" sheetId="75" r:id="rId157"/>
    <sheet name="MAY 2017" sheetId="66" r:id="rId158"/>
    <sheet name="APRIL WEBSITE 2017" sheetId="74" r:id="rId159"/>
    <sheet name="APRIL 2017" sheetId="60" r:id="rId160"/>
    <sheet name="MARCH WEBSITE 2017" sheetId="65" r:id="rId161"/>
    <sheet name="MARCH 2017" sheetId="45" r:id="rId162"/>
    <sheet name="FEBURARY WEBSITE 2017" sheetId="64" r:id="rId163"/>
    <sheet name="FEBURARY 2017" sheetId="42" r:id="rId164"/>
    <sheet name="JANUARY WEBSITE 2017" sheetId="59" r:id="rId165"/>
    <sheet name="JANUARY 2017" sheetId="41" r:id="rId166"/>
    <sheet name="DECEMBER WEBSITE 2016" sheetId="58" r:id="rId167"/>
    <sheet name="DECEMBER 2016" sheetId="40" r:id="rId168"/>
    <sheet name="NOVEMBER WEBSITE 2016" sheetId="49" r:id="rId169"/>
    <sheet name="NOVEMBER 2016" sheetId="39" r:id="rId170"/>
    <sheet name="OCTOBER WEBSITE 2016" sheetId="48" r:id="rId171"/>
    <sheet name="OCTOBER 2016" sheetId="38" r:id="rId172"/>
    <sheet name="SEPTEMBER WEBSITE 2016" sheetId="44" r:id="rId173"/>
    <sheet name="SEPTEMBER 2016" sheetId="37" r:id="rId174"/>
    <sheet name="AUGUST WEBSITE 2016" sheetId="43" r:id="rId175"/>
    <sheet name="AUGUST 2016" sheetId="35" r:id="rId176"/>
    <sheet name="JULY WEBSITE 2016" sheetId="36" r:id="rId177"/>
    <sheet name="JULY 2016" sheetId="33" r:id="rId178"/>
    <sheet name="JUNE WEBSITE 2016" sheetId="34" r:id="rId179"/>
    <sheet name="JUNE 2016" sheetId="31" r:id="rId180"/>
    <sheet name="MAY WEBSITE 2016" sheetId="32" r:id="rId181"/>
    <sheet name="MAY 2016" sheetId="29" r:id="rId182"/>
    <sheet name="APRIL WEBSITE 2016" sheetId="30" r:id="rId183"/>
    <sheet name="APRIL 2016" sheetId="27" r:id="rId184"/>
    <sheet name="MARCH WEBSITE 2016" sheetId="28" r:id="rId185"/>
    <sheet name="MARCH 2016" sheetId="25" r:id="rId186"/>
    <sheet name="FEBRUARY WEBSITE 2016" sheetId="26" r:id="rId187"/>
    <sheet name="FEBRUARY 2016" sheetId="23" r:id="rId188"/>
    <sheet name="JANUARY WEBSITE" sheetId="24" r:id="rId189"/>
    <sheet name="JANUARY 2016" sheetId="21" r:id="rId190"/>
    <sheet name="DECEMEBER WEBSITE" sheetId="22" r:id="rId191"/>
    <sheet name="DECEMBER" sheetId="19" r:id="rId192"/>
    <sheet name="NOVEMBER WEBSITE" sheetId="20" r:id="rId193"/>
    <sheet name="NOVEMBER" sheetId="17" r:id="rId194"/>
    <sheet name="OCTOBER WEBSITE" sheetId="18" r:id="rId195"/>
    <sheet name="October" sheetId="11" r:id="rId196"/>
    <sheet name="September" sheetId="15" r:id="rId197"/>
    <sheet name="August" sheetId="13" r:id="rId198"/>
    <sheet name="JULY" sheetId="12" r:id="rId199"/>
    <sheet name="July Website" sheetId="14" r:id="rId200"/>
    <sheet name="June" sheetId="2" r:id="rId201"/>
    <sheet name="June Website" sheetId="10" r:id="rId202"/>
    <sheet name="March" sheetId="5" r:id="rId203"/>
    <sheet name="March Website" sheetId="3" r:id="rId204"/>
    <sheet name="APRIL" sheetId="4" r:id="rId205"/>
    <sheet name="April Website" sheetId="9" r:id="rId206"/>
    <sheet name="May" sheetId="1" r:id="rId207"/>
    <sheet name="Sheet2" sheetId="16" r:id="rId208"/>
  </sheets>
  <definedNames>
    <definedName name="A">'OCTOBER 2016'!$XBK$147</definedName>
  </definedNames>
  <calcPr calcId="152511"/>
</workbook>
</file>

<file path=xl/calcChain.xml><?xml version="1.0" encoding="utf-8"?>
<calcChain xmlns="http://schemas.openxmlformats.org/spreadsheetml/2006/main">
  <c r="E67" i="244" l="1"/>
  <c r="E66" i="244"/>
  <c r="E65" i="244"/>
  <c r="E64" i="244"/>
  <c r="E56" i="244"/>
  <c r="E54" i="244"/>
  <c r="E51" i="244"/>
  <c r="E49" i="244"/>
  <c r="E43" i="244"/>
  <c r="E37" i="244"/>
  <c r="E35" i="244"/>
  <c r="E33" i="244"/>
  <c r="E30" i="244"/>
  <c r="E29" i="244"/>
  <c r="E24" i="244"/>
  <c r="E19" i="244"/>
  <c r="E35" i="242" l="1"/>
  <c r="E67" i="242"/>
  <c r="E65" i="242"/>
  <c r="E54" i="242"/>
  <c r="E51" i="242"/>
  <c r="E49" i="242"/>
  <c r="E43" i="242"/>
  <c r="E37" i="242"/>
  <c r="E33" i="242"/>
  <c r="E30" i="242"/>
  <c r="E29" i="242"/>
  <c r="E24" i="242"/>
  <c r="E19" i="242"/>
  <c r="E67" i="243" l="1"/>
  <c r="E66" i="243"/>
  <c r="E65" i="243"/>
  <c r="E64" i="243"/>
  <c r="E54" i="243"/>
  <c r="E51" i="243"/>
  <c r="E49" i="243"/>
  <c r="E43" i="243"/>
  <c r="E37" i="243"/>
  <c r="E33" i="243"/>
  <c r="E29" i="243"/>
  <c r="E24" i="243"/>
  <c r="E19" i="243"/>
  <c r="E19" i="239" l="1"/>
  <c r="E24" i="239"/>
  <c r="E29" i="239"/>
  <c r="E30" i="239"/>
  <c r="E33" i="239"/>
  <c r="E37" i="239"/>
  <c r="E43" i="239"/>
  <c r="E49" i="239"/>
  <c r="E51" i="239"/>
  <c r="E54" i="239"/>
  <c r="E64" i="239"/>
  <c r="E65" i="239"/>
  <c r="E66" i="239"/>
  <c r="E67" i="239"/>
  <c r="E33" i="235" l="1"/>
  <c r="E67" i="235" l="1"/>
  <c r="E65" i="235"/>
  <c r="E64" i="235"/>
  <c r="E54" i="235"/>
  <c r="E51" i="235"/>
  <c r="E49" i="235"/>
  <c r="E43" i="235"/>
  <c r="E37" i="235"/>
  <c r="E30" i="235"/>
  <c r="E29" i="235"/>
  <c r="E24" i="235"/>
  <c r="E19" i="235"/>
  <c r="E67" i="234" l="1"/>
  <c r="E65" i="234"/>
  <c r="E64" i="234"/>
  <c r="E56" i="234"/>
  <c r="E54" i="234"/>
  <c r="E51" i="234"/>
  <c r="E49" i="234"/>
  <c r="E43" i="234"/>
  <c r="E33" i="234"/>
  <c r="E30" i="234"/>
  <c r="E29" i="234"/>
  <c r="E24" i="234"/>
  <c r="E19" i="234"/>
  <c r="E67" i="233" l="1"/>
  <c r="E66" i="233"/>
  <c r="E65" i="233"/>
  <c r="E64" i="233"/>
  <c r="E56" i="233"/>
  <c r="E54" i="233"/>
  <c r="E51" i="233"/>
  <c r="E49" i="233"/>
  <c r="E43" i="233"/>
  <c r="E33" i="233"/>
  <c r="E24" i="233"/>
  <c r="E19" i="233"/>
  <c r="E67" i="231" l="1"/>
  <c r="E65" i="231"/>
  <c r="E64" i="231"/>
  <c r="E51" i="231"/>
  <c r="E49" i="231"/>
  <c r="E43" i="231"/>
  <c r="E37" i="231"/>
  <c r="E33" i="231"/>
  <c r="E30" i="231"/>
  <c r="E29" i="231"/>
  <c r="E24" i="231"/>
  <c r="E19" i="231"/>
  <c r="E67" i="230" l="1"/>
  <c r="E66" i="230"/>
  <c r="E65" i="230"/>
  <c r="E54" i="230"/>
  <c r="E51" i="230"/>
  <c r="E49" i="230"/>
  <c r="E37" i="230"/>
  <c r="E33" i="230"/>
  <c r="E30" i="230"/>
  <c r="E29" i="230"/>
  <c r="E24" i="230"/>
  <c r="E19" i="230"/>
  <c r="E67" i="228" l="1"/>
  <c r="E66" i="228"/>
  <c r="E65" i="228"/>
  <c r="E54" i="228"/>
  <c r="E51" i="228"/>
  <c r="E49" i="228"/>
  <c r="E43" i="228"/>
  <c r="E37" i="228"/>
  <c r="E33" i="228"/>
  <c r="E30" i="228"/>
  <c r="E29" i="228"/>
  <c r="E19" i="228"/>
  <c r="E67" i="224" l="1"/>
  <c r="E66" i="224"/>
  <c r="E65" i="224"/>
  <c r="E54" i="224"/>
  <c r="E51" i="224"/>
  <c r="E49" i="224"/>
  <c r="E43" i="224"/>
  <c r="E37" i="224"/>
  <c r="E33" i="224"/>
  <c r="E30" i="224"/>
  <c r="E29" i="224"/>
  <c r="E24" i="224"/>
  <c r="E19" i="224"/>
  <c r="E67" i="223" l="1"/>
  <c r="E66" i="223"/>
  <c r="E65" i="223"/>
  <c r="E54" i="223"/>
  <c r="E51" i="223"/>
  <c r="E49" i="223"/>
  <c r="E43" i="223"/>
  <c r="E37" i="223"/>
  <c r="E33" i="223"/>
  <c r="E30" i="223"/>
  <c r="E29" i="223"/>
  <c r="E24" i="223"/>
  <c r="E19" i="223"/>
  <c r="E67" i="222" l="1"/>
  <c r="E65" i="222"/>
  <c r="E64" i="222"/>
  <c r="E56" i="222"/>
  <c r="E54" i="222"/>
  <c r="E51" i="222"/>
  <c r="E49" i="222"/>
  <c r="E43" i="222"/>
  <c r="E37" i="222"/>
  <c r="E33" i="222"/>
  <c r="E30" i="222"/>
  <c r="E29" i="222"/>
  <c r="E19" i="222"/>
  <c r="E67" i="220" l="1"/>
  <c r="E66" i="220"/>
  <c r="E65" i="220"/>
  <c r="E56" i="220"/>
  <c r="E54" i="220"/>
  <c r="E51" i="220"/>
  <c r="E49" i="220"/>
  <c r="E43" i="220"/>
  <c r="E37" i="220"/>
  <c r="E33" i="220"/>
  <c r="E29" i="220"/>
  <c r="E24" i="220"/>
  <c r="E19" i="220"/>
  <c r="E67" i="219" l="1"/>
  <c r="E66" i="219"/>
  <c r="E65" i="219"/>
  <c r="E64" i="219"/>
  <c r="E56" i="219"/>
  <c r="E54" i="219"/>
  <c r="E51" i="219"/>
  <c r="E49" i="219"/>
  <c r="E43" i="219"/>
  <c r="E37" i="219"/>
  <c r="E33" i="219"/>
  <c r="E30" i="219"/>
  <c r="E29" i="219"/>
  <c r="E24" i="219"/>
  <c r="E19" i="219"/>
  <c r="E67" i="213" l="1"/>
  <c r="E65" i="213"/>
  <c r="E64" i="213"/>
  <c r="E54" i="213"/>
  <c r="E51" i="213"/>
  <c r="E49" i="213"/>
  <c r="E43" i="213"/>
  <c r="E37" i="213"/>
  <c r="E33" i="213"/>
  <c r="E29" i="213"/>
  <c r="E24" i="213"/>
  <c r="E19" i="213"/>
  <c r="E67" i="212" l="1"/>
  <c r="E65" i="212"/>
  <c r="E54" i="212"/>
  <c r="E51" i="212"/>
  <c r="E49" i="212"/>
  <c r="E43" i="212"/>
  <c r="E37" i="212"/>
  <c r="E33" i="212"/>
  <c r="E30" i="212"/>
  <c r="E29" i="212"/>
  <c r="E24" i="212"/>
  <c r="E19" i="212"/>
  <c r="E67" i="211" l="1"/>
  <c r="E66" i="211"/>
  <c r="E65" i="211"/>
  <c r="E54" i="211"/>
  <c r="E51" i="211"/>
  <c r="E49" i="211"/>
  <c r="E43" i="211"/>
  <c r="E37" i="211"/>
  <c r="E33" i="211"/>
  <c r="E30" i="211"/>
  <c r="E29" i="211"/>
  <c r="E19" i="211"/>
  <c r="E67" i="207" l="1"/>
  <c r="E66" i="207"/>
  <c r="E65" i="207"/>
  <c r="E64" i="207"/>
  <c r="E54" i="207"/>
  <c r="E51" i="207"/>
  <c r="E49" i="207"/>
  <c r="E43" i="207"/>
  <c r="E37" i="207"/>
  <c r="E33" i="207"/>
  <c r="E30" i="207"/>
  <c r="E29" i="207"/>
  <c r="E24" i="207"/>
  <c r="E67" i="202" l="1"/>
  <c r="E65" i="202"/>
  <c r="E64" i="202"/>
  <c r="E56" i="202"/>
  <c r="E54" i="202"/>
  <c r="E51" i="202"/>
  <c r="E49" i="202"/>
  <c r="E43" i="202"/>
  <c r="E39" i="202"/>
  <c r="E37" i="202"/>
  <c r="E33" i="202"/>
  <c r="E30" i="202"/>
  <c r="E29" i="202"/>
  <c r="E24" i="202"/>
  <c r="E19" i="202"/>
  <c r="E67" i="201" l="1"/>
  <c r="E66" i="201"/>
  <c r="E65" i="201"/>
  <c r="E54" i="201"/>
  <c r="E51" i="201"/>
  <c r="E49" i="201"/>
  <c r="E43" i="201"/>
  <c r="E37" i="201"/>
  <c r="E33" i="201"/>
  <c r="E30" i="201"/>
  <c r="E29" i="201"/>
  <c r="E24" i="201"/>
  <c r="E19" i="201"/>
  <c r="E67" i="200" l="1"/>
  <c r="E66" i="200"/>
  <c r="E65" i="200"/>
  <c r="E64" i="200"/>
  <c r="E54" i="200"/>
  <c r="E51" i="200"/>
  <c r="E49" i="200"/>
  <c r="E43" i="200"/>
  <c r="E37" i="200"/>
  <c r="E33" i="200"/>
  <c r="E30" i="200"/>
  <c r="E29" i="200"/>
  <c r="E24" i="200"/>
  <c r="E19" i="200"/>
  <c r="E20" i="199" l="1"/>
  <c r="E25" i="199"/>
  <c r="E30" i="199"/>
  <c r="E31" i="199"/>
  <c r="E34" i="199"/>
  <c r="E38" i="199"/>
  <c r="E44" i="199"/>
  <c r="E50" i="199"/>
  <c r="E52" i="199"/>
  <c r="E55" i="199"/>
  <c r="E66" i="199"/>
  <c r="E67" i="199"/>
  <c r="E68" i="199"/>
  <c r="E68" i="191" l="1"/>
  <c r="E67" i="191"/>
  <c r="E66" i="191"/>
  <c r="E57" i="191"/>
  <c r="E55" i="191"/>
  <c r="E52" i="191"/>
  <c r="E50" i="191"/>
  <c r="E44" i="191"/>
  <c r="E38" i="191"/>
  <c r="E34" i="191"/>
  <c r="E31" i="191"/>
  <c r="E30" i="191"/>
  <c r="E25" i="191"/>
  <c r="E20" i="191"/>
  <c r="E96" i="191" l="1"/>
  <c r="E68" i="190" l="1"/>
  <c r="E67" i="190"/>
  <c r="E66" i="190"/>
  <c r="E65" i="190"/>
  <c r="E55" i="190"/>
  <c r="E52" i="190"/>
  <c r="E50" i="190"/>
  <c r="E44" i="190"/>
  <c r="E38" i="190"/>
  <c r="E36" i="190"/>
  <c r="E34" i="190"/>
  <c r="E31" i="190"/>
  <c r="E30" i="190"/>
  <c r="E25" i="190"/>
  <c r="E20" i="190"/>
  <c r="E68" i="189" l="1"/>
  <c r="E67" i="189"/>
  <c r="E66" i="189"/>
  <c r="E55" i="189"/>
  <c r="E52" i="189"/>
  <c r="E50" i="189"/>
  <c r="E44" i="189"/>
  <c r="E40" i="189"/>
  <c r="E38" i="189"/>
  <c r="E34" i="189"/>
  <c r="E31" i="189"/>
  <c r="E30" i="189"/>
  <c r="E25" i="189"/>
  <c r="E20" i="189"/>
  <c r="E68" i="188" l="1"/>
  <c r="E67" i="188"/>
  <c r="E66" i="188"/>
  <c r="E55" i="188"/>
  <c r="E52" i="188"/>
  <c r="E50" i="188"/>
  <c r="E44" i="188"/>
  <c r="E38" i="188"/>
  <c r="E34" i="188"/>
  <c r="E31" i="188"/>
  <c r="E30" i="188"/>
  <c r="E25" i="188"/>
  <c r="E20" i="188"/>
  <c r="I153" i="60" l="1"/>
  <c r="H153" i="60"/>
  <c r="G153" i="60"/>
  <c r="F153" i="60"/>
  <c r="E153" i="60"/>
  <c r="D153" i="60"/>
  <c r="I152" i="45" l="1"/>
  <c r="H152" i="45"/>
  <c r="G152" i="45"/>
  <c r="F152" i="45"/>
  <c r="E152" i="45"/>
  <c r="D152" i="45"/>
  <c r="I159" i="42" l="1"/>
  <c r="H159" i="42"/>
  <c r="G159" i="42"/>
  <c r="F159" i="42"/>
  <c r="E159" i="42"/>
  <c r="D159" i="42"/>
  <c r="I153" i="41"/>
  <c r="H153" i="41"/>
  <c r="G153" i="41"/>
  <c r="F153" i="41"/>
  <c r="E153" i="41"/>
  <c r="D153" i="41"/>
  <c r="I152" i="40"/>
  <c r="H152" i="40"/>
  <c r="G152" i="40"/>
  <c r="F152" i="40"/>
  <c r="E152" i="40"/>
  <c r="D152" i="40"/>
  <c r="I151" i="39"/>
  <c r="H151" i="39"/>
  <c r="G151" i="39"/>
  <c r="F151" i="39"/>
  <c r="E151" i="39"/>
  <c r="D151" i="39"/>
  <c r="I151" i="38"/>
  <c r="H151" i="38"/>
  <c r="G151" i="38"/>
  <c r="F151" i="38"/>
  <c r="E151" i="38"/>
  <c r="D151" i="38"/>
  <c r="I152" i="37" l="1"/>
  <c r="H152" i="37"/>
  <c r="G152" i="37"/>
  <c r="F152" i="37"/>
  <c r="E152" i="37"/>
  <c r="D152" i="37"/>
  <c r="I151" i="35" l="1"/>
  <c r="H151" i="35"/>
  <c r="G151" i="35"/>
  <c r="F151" i="35"/>
  <c r="E151" i="35"/>
  <c r="D151" i="35"/>
  <c r="I148" i="33" l="1"/>
  <c r="H148" i="33"/>
  <c r="G148" i="33"/>
  <c r="F148" i="33"/>
  <c r="E148" i="33"/>
  <c r="D148" i="33"/>
  <c r="I148" i="31" l="1"/>
  <c r="H148" i="31"/>
  <c r="G148" i="31"/>
  <c r="F148" i="31"/>
  <c r="E148" i="31"/>
  <c r="D148" i="31"/>
  <c r="I148" i="29"/>
  <c r="H148" i="29"/>
  <c r="G148" i="29"/>
  <c r="F148" i="29"/>
  <c r="E148" i="29"/>
  <c r="D148" i="29"/>
  <c r="I148" i="27"/>
  <c r="H148" i="27"/>
  <c r="G148" i="27"/>
  <c r="F148" i="27"/>
  <c r="E148" i="27"/>
  <c r="D148" i="27"/>
  <c r="I148" i="25"/>
  <c r="H148" i="25"/>
  <c r="G148" i="25"/>
  <c r="F148" i="25"/>
  <c r="E148" i="25"/>
  <c r="D148" i="25"/>
  <c r="I148" i="23"/>
  <c r="H148" i="23"/>
  <c r="G148" i="23"/>
  <c r="F148" i="23"/>
  <c r="E148" i="23"/>
  <c r="D148" i="23"/>
  <c r="I148" i="21"/>
  <c r="H148" i="21"/>
  <c r="G148" i="21"/>
  <c r="F148" i="21"/>
  <c r="E148" i="21"/>
  <c r="D148" i="21"/>
  <c r="I148" i="19"/>
  <c r="H148" i="19"/>
  <c r="G148" i="19"/>
  <c r="F148" i="19"/>
  <c r="E148" i="19"/>
  <c r="D148" i="19"/>
  <c r="I148" i="11" l="1"/>
  <c r="H148" i="11"/>
  <c r="G148" i="11"/>
  <c r="F148" i="11"/>
  <c r="E148" i="11"/>
  <c r="D148" i="11"/>
  <c r="I148" i="17"/>
  <c r="H148" i="17"/>
  <c r="G148" i="17"/>
  <c r="F148" i="17"/>
  <c r="E148" i="17"/>
  <c r="D148" i="17"/>
  <c r="I148" i="15"/>
  <c r="H148" i="15"/>
  <c r="G148" i="15"/>
  <c r="F148" i="15"/>
  <c r="E148" i="15"/>
  <c r="D148" i="15"/>
  <c r="I148" i="13" l="1"/>
  <c r="H148" i="13"/>
  <c r="G148" i="13"/>
  <c r="F148" i="13"/>
  <c r="E148" i="13"/>
  <c r="D148" i="13"/>
  <c r="E146" i="12" l="1"/>
  <c r="F146" i="12"/>
  <c r="G146" i="12"/>
  <c r="H146" i="12"/>
  <c r="I146" i="12"/>
  <c r="D146" i="12"/>
  <c r="D146" i="2"/>
  <c r="E146" i="2" l="1"/>
  <c r="F146" i="2"/>
  <c r="G146" i="2"/>
  <c r="H146" i="2"/>
  <c r="I146" i="2"/>
  <c r="E146" i="1" l="1"/>
  <c r="F146" i="1"/>
  <c r="G146" i="1"/>
  <c r="H146" i="1"/>
  <c r="I146" i="1"/>
  <c r="D146" i="1"/>
  <c r="E144" i="4"/>
  <c r="F144" i="4"/>
  <c r="G144" i="4"/>
  <c r="H144" i="4"/>
  <c r="I144" i="4"/>
  <c r="D144" i="4"/>
  <c r="E144" i="5"/>
  <c r="F144" i="5"/>
  <c r="G144" i="5"/>
  <c r="H144" i="5"/>
  <c r="I144" i="5"/>
  <c r="D144" i="5"/>
</calcChain>
</file>

<file path=xl/sharedStrings.xml><?xml version="1.0" encoding="utf-8"?>
<sst xmlns="http://schemas.openxmlformats.org/spreadsheetml/2006/main" count="48708" uniqueCount="2267">
  <si>
    <t>VENDOR / Location</t>
  </si>
  <si>
    <t>Electric</t>
  </si>
  <si>
    <t>Gas</t>
  </si>
  <si>
    <t>Water</t>
  </si>
  <si>
    <t>Usage</t>
  </si>
  <si>
    <t>Dates of Service</t>
  </si>
  <si>
    <t>ATMOS</t>
  </si>
  <si>
    <t>Scurry County Jail 400 37th St</t>
  </si>
  <si>
    <t>4/28/2015 to 5/21/2015</t>
  </si>
  <si>
    <t>Metered</t>
  </si>
  <si>
    <t>CCF</t>
  </si>
  <si>
    <t>4/30/2015 to 5/26/2015</t>
  </si>
  <si>
    <t>Status</t>
  </si>
  <si>
    <t>Scurry County 1806 25th St</t>
  </si>
  <si>
    <t>5/01/2015 to 5/27/2015</t>
  </si>
  <si>
    <t>Inputed/May</t>
  </si>
  <si>
    <t>4/15/2015 to 5/31/2015</t>
  </si>
  <si>
    <t>Child Welfare 2711 College Ave</t>
  </si>
  <si>
    <t>4/14/2015 to 5/12/2015</t>
  </si>
  <si>
    <t>Ext Agent 2251 Thompson Rd</t>
  </si>
  <si>
    <t>4/07/2015 to 5/05/2015</t>
  </si>
  <si>
    <t>PCT 4 City HWY Prec 4</t>
  </si>
  <si>
    <t>PCT 4 City HWY Prec 4 Grdl</t>
  </si>
  <si>
    <t>4/06/2015 to 5/04/2015</t>
  </si>
  <si>
    <t>PCT 3  1806 25th St  Pre3 Barn</t>
  </si>
  <si>
    <t>CONSTELLATION</t>
  </si>
  <si>
    <t>Senior Center 2605 Avenue M Grdl 3</t>
  </si>
  <si>
    <t>4/15/2015 to 5/13/2015</t>
  </si>
  <si>
    <t>Senior Center 2605 Avenue M Grdl 1</t>
  </si>
  <si>
    <t>Senior Center 2605 Avenue M Grdl 2</t>
  </si>
  <si>
    <t>Senior Center 2605 Avenue M</t>
  </si>
  <si>
    <t>Courthouse 1806 25th STE 205</t>
  </si>
  <si>
    <t>Sheriff Office 2111 12th St</t>
  </si>
  <si>
    <t>kWh</t>
  </si>
  <si>
    <t>Library 1916 23rd St</t>
  </si>
  <si>
    <t>4/25/2015 to 5/20/2015</t>
  </si>
  <si>
    <t>Diamond M 911 25th St</t>
  </si>
  <si>
    <t>Annex 1300 26th St</t>
  </si>
  <si>
    <t>Library 1916 23rd St GRDL</t>
  </si>
  <si>
    <t>HERMLEIGH WATER WORKS</t>
  </si>
  <si>
    <t>Hermleigh Community Center 3000 Towle Park Road</t>
  </si>
  <si>
    <t>Hermleigh Community Center 700 Wheat St</t>
  </si>
  <si>
    <t>Dunn Community Center 11601 S State Highway 208</t>
  </si>
  <si>
    <t>Park 3006 Towle Park Rd</t>
  </si>
  <si>
    <t>Park 2912 Towle Park Rd S</t>
  </si>
  <si>
    <t>Road &amp; Bridge PCT 4 5272 S State Highway 208</t>
  </si>
  <si>
    <t>Adult Probation 2511 College Ave</t>
  </si>
  <si>
    <t>Boys &amp; Girls Club 1500 28th St</t>
  </si>
  <si>
    <t>Boys &amp; Girls Club 1500 28th St Grdl</t>
  </si>
  <si>
    <t>BIG COUNTRY ELECTRIC COOPERATIVE</t>
  </si>
  <si>
    <t>05/01/2015 to 06/01/2015</t>
  </si>
  <si>
    <t>Scurry County Airport Terminal Building 2757 Round Rock Ave.</t>
  </si>
  <si>
    <t>Scurry County Airport Main Hanger 2757 Round Rock Ave</t>
  </si>
  <si>
    <t>04/29/2015 to 05/28/2015</t>
  </si>
  <si>
    <t>Scurry County Airport Nort Hanger &amp; Lights 2757 Round Rock Ave</t>
  </si>
  <si>
    <t>Scurry County Airport East Hanger &amp; light</t>
  </si>
  <si>
    <t>Scurry County Airport Radio Beacon</t>
  </si>
  <si>
    <t>Scurry County Airport Runway Lights &amp; Beacon</t>
  </si>
  <si>
    <t>Scurry County Airport Equipment Shed</t>
  </si>
  <si>
    <t>Scurry County Airport Weather System</t>
  </si>
  <si>
    <t>Scurry County Airport Patterson UTI Hanger</t>
  </si>
  <si>
    <t>Scurry County Airport FAA Gate</t>
  </si>
  <si>
    <t>Scurry County Airport New Hanger</t>
  </si>
  <si>
    <t>05/01/2015 to 05/27/2015</t>
  </si>
  <si>
    <t>Health Unit 911 26TH ST</t>
  </si>
  <si>
    <t>Senior Center 2605 Ave M</t>
  </si>
  <si>
    <t>04/30/2015 to 05/26/2015</t>
  </si>
  <si>
    <t>05/02/2015 to 06/01/2015</t>
  </si>
  <si>
    <t>EMS 3902 College Ave</t>
  </si>
  <si>
    <t>EMS 3902 College Ave STE 2</t>
  </si>
  <si>
    <t>CITY OF SNYDER</t>
  </si>
  <si>
    <t>Parks 2809 45th St Pavil</t>
  </si>
  <si>
    <t>Parks E of Toilet/Pond 2</t>
  </si>
  <si>
    <t>Parks NW-Side Park Barn</t>
  </si>
  <si>
    <t>Parks SW-Side Park Barn</t>
  </si>
  <si>
    <t>Parks-Armory E Natl Guard Bldg</t>
  </si>
  <si>
    <t>Parks-Armory N of Natl Guard Bldg</t>
  </si>
  <si>
    <t>Parks-Girls Softball S Cate B-Ball FLD EB</t>
  </si>
  <si>
    <t>Parks 2207 N Towle Park Rd</t>
  </si>
  <si>
    <t>Parks S Cate B-Ball FLD WB</t>
  </si>
  <si>
    <t>Parks South of Moffet FLD</t>
  </si>
  <si>
    <t>Parks SE of Logan B-Field</t>
  </si>
  <si>
    <t>Parks Logan B-Field Toilet</t>
  </si>
  <si>
    <t>Parks W Moffet FLD Toilet</t>
  </si>
  <si>
    <t>Parks W Moffet Fountain</t>
  </si>
  <si>
    <t>Parks West of Windmill</t>
  </si>
  <si>
    <t>Parks Fountain by Pump Hou</t>
  </si>
  <si>
    <t>Parks 4701 College Ave</t>
  </si>
  <si>
    <t>Parks 2401 N Towle Park Rd</t>
  </si>
  <si>
    <t>Swimming Pool 23251 N Towle Park Road</t>
  </si>
  <si>
    <t>Parks 2317 N Towle Park Rd</t>
  </si>
  <si>
    <t>Parks 2601 Towle Park Rd</t>
  </si>
  <si>
    <t>Parks 2801 Towle Park Rd YDMTR</t>
  </si>
  <si>
    <t>Parks 2605 Towle Park Rd YDMTR</t>
  </si>
  <si>
    <t>Parks Fluv Com Prec #2</t>
  </si>
  <si>
    <t>Parks Little League West FLD PR</t>
  </si>
  <si>
    <t>Parks Prec 1 NE CTR-Lite</t>
  </si>
  <si>
    <t>Non Departmental Weigh Station-s of Herm</t>
  </si>
  <si>
    <t>Parks Little League Scoreboard</t>
  </si>
  <si>
    <t>Parks West Water Well &amp; Securit</t>
  </si>
  <si>
    <t>Parks Softball PME &amp; Lights</t>
  </si>
  <si>
    <t>Parks Moffett Field PME</t>
  </si>
  <si>
    <t>Parks 6-15 &amp; 10-400 w Lights</t>
  </si>
  <si>
    <t>Scurry County Airport 1 RT</t>
  </si>
  <si>
    <t>Scurry County Airport  37th West St</t>
  </si>
  <si>
    <t>Scurry County Airport</t>
  </si>
  <si>
    <t>IRA WATER SUPPLY CORP</t>
  </si>
  <si>
    <t>Parks Dunn Community Center</t>
  </si>
  <si>
    <t>Read 06/03/2015</t>
  </si>
  <si>
    <t>Road &amp; Bridge PCT 3 Barn</t>
  </si>
  <si>
    <t>Road &amp; Bridge PRES 2-WW-Barn-Lite</t>
  </si>
  <si>
    <t>Road &amp; Bridge Prec 4 Water Well</t>
  </si>
  <si>
    <t>05/06/2015 to 06/04/2015</t>
  </si>
  <si>
    <t>Parks 1300 37th St Unit B</t>
  </si>
  <si>
    <t>Parks 1300 37th St Well</t>
  </si>
  <si>
    <t>EMS 3902 College Ave Apt</t>
  </si>
  <si>
    <t xml:space="preserve">EMS 3902 College Ave </t>
  </si>
  <si>
    <t>Road &amp; Bridge Pct 1 Maintenance Barn</t>
  </si>
  <si>
    <t>Road &amp; Bridge Equipment Shed</t>
  </si>
  <si>
    <t>Park  1000 Ave O Well</t>
  </si>
  <si>
    <t>05/08/2015 to 06/08/2015</t>
  </si>
  <si>
    <t>Park 1201 Ave O</t>
  </si>
  <si>
    <t>Account Number</t>
  </si>
  <si>
    <t>Hermleigh Water Works 806 Herm St Bldg</t>
  </si>
  <si>
    <t>05/13/2015 to 06/11/2014</t>
  </si>
  <si>
    <t>Hermleigh Water Works Water Tower</t>
  </si>
  <si>
    <t>Hermleigh Water Well</t>
  </si>
  <si>
    <t>Parks Hermleigh Comm Ctr GRDL</t>
  </si>
  <si>
    <t xml:space="preserve">Park Hermleigh Com Ctr </t>
  </si>
  <si>
    <t>Non Departmental Old Jail 1300 26th St GRDL</t>
  </si>
  <si>
    <t>Boys &amp; Girls Club 1500 28th St YDMT</t>
  </si>
  <si>
    <t>19-1781-00</t>
  </si>
  <si>
    <t>05/10/2015 to 06/10/2015</t>
  </si>
  <si>
    <t>20-0551-00</t>
  </si>
  <si>
    <t>Park Winston Park 1210 37th St</t>
  </si>
  <si>
    <t>20-0595-01</t>
  </si>
  <si>
    <t>Sheriff Office/Jail</t>
  </si>
  <si>
    <t>Sheriff Office</t>
  </si>
  <si>
    <t>20-0625-00</t>
  </si>
  <si>
    <t>19-1780-00</t>
  </si>
  <si>
    <t>Park 1207 Ave M/ North Park</t>
  </si>
  <si>
    <t>30-1250-00</t>
  </si>
  <si>
    <t>Park</t>
  </si>
  <si>
    <t>30-1255-00</t>
  </si>
  <si>
    <t>Courthouse</t>
  </si>
  <si>
    <t>34-1100-00</t>
  </si>
  <si>
    <t>Courthouse Lawn</t>
  </si>
  <si>
    <t>34-1110-00</t>
  </si>
  <si>
    <t>03/16/2015 TO 04/14/2015</t>
  </si>
  <si>
    <t>03/12/2015 to 04/12/2015</t>
  </si>
  <si>
    <t>Parks Armory 2401 Towle Park Rd</t>
  </si>
  <si>
    <t>Parks 2203 N Towle Park</t>
  </si>
  <si>
    <t>Parks 2300 Towle Park Rd Well</t>
  </si>
  <si>
    <t>Parks 2317 N Towle Park Rd Carnival/RV Camp Area</t>
  </si>
  <si>
    <t>03/13/2015 to 04/13/2015</t>
  </si>
  <si>
    <t>U&amp;F Water Supply</t>
  </si>
  <si>
    <t>Fluvanna Community Center</t>
  </si>
  <si>
    <t>April</t>
  </si>
  <si>
    <t>March</t>
  </si>
  <si>
    <t>Read 05/02/2015</t>
  </si>
  <si>
    <t>Read 6/10/2015</t>
  </si>
  <si>
    <t>03/31/2015 to 04/30/2015</t>
  </si>
  <si>
    <t>03/10/2015 to 04/10/2015</t>
  </si>
  <si>
    <t>01-0840-00</t>
  </si>
  <si>
    <t>03/01/2015 to 04/01/2015</t>
  </si>
  <si>
    <t>34-1030-00</t>
  </si>
  <si>
    <t>16-1110-01</t>
  </si>
  <si>
    <t>12-1850-00</t>
  </si>
  <si>
    <t>12-1860-00</t>
  </si>
  <si>
    <t>12-1880-00</t>
  </si>
  <si>
    <t>12-1900-00</t>
  </si>
  <si>
    <t>12-1910-00</t>
  </si>
  <si>
    <t>12-2160-00</t>
  </si>
  <si>
    <t>12-2150-01</t>
  </si>
  <si>
    <t>12-2145-00</t>
  </si>
  <si>
    <t>12-1800-00</t>
  </si>
  <si>
    <t>Library 1918 23rd St</t>
  </si>
  <si>
    <t>12-1840-00</t>
  </si>
  <si>
    <t>12-1810-00</t>
  </si>
  <si>
    <t>12-1820-00</t>
  </si>
  <si>
    <t>12-1830-00</t>
  </si>
  <si>
    <t>12-2115-00</t>
  </si>
  <si>
    <t>12-1995-00</t>
  </si>
  <si>
    <t>12-1989-00</t>
  </si>
  <si>
    <t>12-1949-00</t>
  </si>
  <si>
    <t>12-1940-00</t>
  </si>
  <si>
    <t>12-1933-00</t>
  </si>
  <si>
    <t>12-1930-00</t>
  </si>
  <si>
    <t>12-1915-00</t>
  </si>
  <si>
    <t>12-1890-01</t>
  </si>
  <si>
    <t>01-0830-00</t>
  </si>
  <si>
    <t>02-0310-00</t>
  </si>
  <si>
    <t>04-0790-00</t>
  </si>
  <si>
    <t>04-0600-00</t>
  </si>
  <si>
    <t>10-0510-00</t>
  </si>
  <si>
    <t>10-0530-00</t>
  </si>
  <si>
    <t>12-0630-03</t>
  </si>
  <si>
    <t>12-1851-00</t>
  </si>
  <si>
    <t>04/10/2015 to 05/10/2015</t>
  </si>
  <si>
    <t>04/01/2015 to 05/01/2015</t>
  </si>
  <si>
    <t>0001961200</t>
  </si>
  <si>
    <t>0001983600</t>
  </si>
  <si>
    <t>0007631500</t>
  </si>
  <si>
    <t>0007815400</t>
  </si>
  <si>
    <t>0013181300</t>
  </si>
  <si>
    <t>1401648001</t>
  </si>
  <si>
    <t>1402057701</t>
  </si>
  <si>
    <t>0002594000</t>
  </si>
  <si>
    <t>0007040902</t>
  </si>
  <si>
    <t>0007027604</t>
  </si>
  <si>
    <t>0007039100</t>
  </si>
  <si>
    <t>Scurry County Airport North Hanger &amp; Lights 2757 Round Rock Ave</t>
  </si>
  <si>
    <t>0007053200</t>
  </si>
  <si>
    <t>0011544400</t>
  </si>
  <si>
    <t>0013114400</t>
  </si>
  <si>
    <t>0014015567</t>
  </si>
  <si>
    <t>1322845500</t>
  </si>
  <si>
    <t>1401497002</t>
  </si>
  <si>
    <t>1401667001</t>
  </si>
  <si>
    <t>1401942801</t>
  </si>
  <si>
    <t>0007126600</t>
  </si>
  <si>
    <t>1401588501</t>
  </si>
  <si>
    <t>0008101802</t>
  </si>
  <si>
    <t>Parks 6-150 &amp; 10-400 w Lights</t>
  </si>
  <si>
    <t>02/27/2015 to 03/27/2015</t>
  </si>
  <si>
    <t>02/26/2015 to 3/27/2015</t>
  </si>
  <si>
    <t>02/21/2015 to 03/24/2015</t>
  </si>
  <si>
    <t>02/21/2015 to 03/23/2015</t>
  </si>
  <si>
    <t>02/27/2015 to 3/27/2015</t>
  </si>
  <si>
    <t>03/03/2015 to 04/01/2015</t>
  </si>
  <si>
    <t>02/27/2015 to 03/26/2015</t>
  </si>
  <si>
    <t>02/27/2015 to 3/26/2015</t>
  </si>
  <si>
    <t>02/27/205 to 3/26/2015</t>
  </si>
  <si>
    <t>03/27/2015 to 04/29/2015</t>
  </si>
  <si>
    <t>04/02/2015 to 05/01/2015</t>
  </si>
  <si>
    <t>03/28/2015 to 04/30/2015</t>
  </si>
  <si>
    <t>03/28/2015 to 04/29/2015</t>
  </si>
  <si>
    <t>03/25/2015 to 04/27/2015</t>
  </si>
  <si>
    <t>03/28/2015 to 4/30/2015</t>
  </si>
  <si>
    <t>03/24/2015 to 04/24/2015</t>
  </si>
  <si>
    <t>Maintenance Courthouse</t>
  </si>
  <si>
    <t>Non Departmental Street Light</t>
  </si>
  <si>
    <t>Non Departmental Street Light 2</t>
  </si>
  <si>
    <t>Non Departmental Street Light 1</t>
  </si>
  <si>
    <t>Non Departmental Streetlights Stlg</t>
  </si>
  <si>
    <t>Health Unit 911 26TH ST GRDL</t>
  </si>
  <si>
    <t>Sheriff Office / Jail 400 37th ST</t>
  </si>
  <si>
    <t>03/06/2015 to 04/06/2015</t>
  </si>
  <si>
    <t>Parks 1000 Ave O GRDL</t>
  </si>
  <si>
    <t>03/10/2015 to 04/08/2015</t>
  </si>
  <si>
    <t>Parks 1101 Ave O</t>
  </si>
  <si>
    <t>03/05/2015 to 04/05/2015</t>
  </si>
  <si>
    <t>Parks 1300 37th St Rstr</t>
  </si>
  <si>
    <t>Diamond M 907 25th St</t>
  </si>
  <si>
    <t>Diamond M 907 25th St GRDL</t>
  </si>
  <si>
    <t>Diamond M 909 25th St Garage</t>
  </si>
  <si>
    <t>Maintenance 1806 25th St  Grdl 5</t>
  </si>
  <si>
    <t>Inputted</t>
  </si>
  <si>
    <t>05/21/2015 to 06/19/2015</t>
  </si>
  <si>
    <t>03/16/2015 to 04/14/2015</t>
  </si>
  <si>
    <t>04/15/2015 to 05/13/2015</t>
  </si>
  <si>
    <t>04/14/2015 to 05/12/2015</t>
  </si>
  <si>
    <t>04/07/2015 to 05/05/2015</t>
  </si>
  <si>
    <t>04/09/2015 to 05/07/2015</t>
  </si>
  <si>
    <t>Parks 1201 Ave O</t>
  </si>
  <si>
    <t xml:space="preserve">Parks Hermleigh Com Ctr </t>
  </si>
  <si>
    <t>04/13/2015 to 05/11/2015</t>
  </si>
  <si>
    <t>05/12/2015 to 06/10/2015</t>
  </si>
  <si>
    <t>05/14/2015 to 06/14/2015</t>
  </si>
  <si>
    <t>05/05/2015 to 06/03/2015</t>
  </si>
  <si>
    <t>This information is posted in accordance with House Bill 3693, Chapter 2264-Section 2264.001 (b)</t>
  </si>
  <si>
    <t>Detailed bills can be obtained through the Scurry County Auditor's office in writing under the Open Records Acts:</t>
  </si>
  <si>
    <t>Scurry County Auditor's Office</t>
  </si>
  <si>
    <t>1806 25th Street, Suite 205</t>
  </si>
  <si>
    <t>Snyder, Texas 79549</t>
  </si>
  <si>
    <t xml:space="preserve">          Electricity</t>
  </si>
  <si>
    <t xml:space="preserve">          Gas</t>
  </si>
  <si>
    <t xml:space="preserve">          Water</t>
  </si>
  <si>
    <t>GAL</t>
  </si>
  <si>
    <t>Totals</t>
  </si>
  <si>
    <t>Mail invoice to SISD or Moffett Billboards</t>
  </si>
  <si>
    <t>Gal</t>
  </si>
  <si>
    <t>SCURRY COUNTY 'S UTILITY USAGE FOR MARCH 2015</t>
  </si>
  <si>
    <t>SCURRY COUNTY 'S UTILITY USAGE FOR JUNE 2015</t>
  </si>
  <si>
    <t>Utility Service</t>
  </si>
  <si>
    <t>Metered Amount</t>
  </si>
  <si>
    <t>Aggregate Cost</t>
  </si>
  <si>
    <t>SCURRY COUNTY 'S UTILITY USAGE FOR APRIL 2015</t>
  </si>
  <si>
    <t>5/27/2015 to 6/25/2015</t>
  </si>
  <si>
    <t>05/27/2015 to 6/25/2015</t>
  </si>
  <si>
    <t>05/22/2015 to 6/23/2015</t>
  </si>
  <si>
    <t>05/27/2015 to 6/26/2015</t>
  </si>
  <si>
    <t>DEPT</t>
  </si>
  <si>
    <t>05/22/2015 to 6/24/2015</t>
  </si>
  <si>
    <t>5/28/2015 to 6/29/2015</t>
  </si>
  <si>
    <t>5/22/2015 to 6/24/2015</t>
  </si>
  <si>
    <t>05/01/2015 to 06/08/2015</t>
  </si>
  <si>
    <t>dept</t>
  </si>
  <si>
    <t>06/01/2015 to 07/01/2015</t>
  </si>
  <si>
    <t>5/28/2015 to 07/01/2015</t>
  </si>
  <si>
    <t>READ 06/30/2015</t>
  </si>
  <si>
    <t>06/02/2015 to 07/01/2015</t>
  </si>
  <si>
    <t>06/01/2015 to 07/01/2016</t>
  </si>
  <si>
    <t>INPUTTED</t>
  </si>
  <si>
    <t>READ 7/10/15</t>
  </si>
  <si>
    <t>06/04/2015 TO 07/05/2015</t>
  </si>
  <si>
    <t>06/09/2015 to 07/08/2015</t>
  </si>
  <si>
    <t>06/05/2015 to 7/06/2015</t>
  </si>
  <si>
    <t>06/10/2015 to 07/10/2015</t>
  </si>
  <si>
    <t>Sheriff Office 46%/Jail 54%</t>
  </si>
  <si>
    <t>Sheriff Office 46% / Jail54% 400 37th ST</t>
  </si>
  <si>
    <t>06/11/2015 to 07/12/2015</t>
  </si>
  <si>
    <t>06/11/2015 to 07/13/2015</t>
  </si>
  <si>
    <t>6/15/2015 to 07/14/2015</t>
  </si>
  <si>
    <t>6/20/2015 to 7/22/2015</t>
  </si>
  <si>
    <t>BILL to Moffett Billboards</t>
  </si>
  <si>
    <t>6/24/2015 to 7/23/2015</t>
  </si>
  <si>
    <t>6/26/2015 to 7/27/2015</t>
  </si>
  <si>
    <t>6/30/2015 to 7/28/2015</t>
  </si>
  <si>
    <t>6/27/2015 to 7/27/2015</t>
  </si>
  <si>
    <t>06/26/2015 to 07/27/2015</t>
  </si>
  <si>
    <t>Scurry County Jail 54%/SO 46% 400 37th St</t>
  </si>
  <si>
    <t>Scurry County Jail 54% SO / 46% 400 37th St</t>
  </si>
  <si>
    <t>06/25/2015 to 7/23/2015</t>
  </si>
  <si>
    <t>06/30/2015 to 07/28/2015</t>
  </si>
  <si>
    <t>06/27/2015 to 7/27/2015</t>
  </si>
  <si>
    <t>07/01/2015 to 08/01/2015</t>
  </si>
  <si>
    <t>07/02/2015 to 08/03/2015</t>
  </si>
  <si>
    <t>07/01/2015 to 08/06/2015</t>
  </si>
  <si>
    <t>07/07/2015 to 08/04/2015</t>
  </si>
  <si>
    <t>07/06/2015 to 08/03/2015</t>
  </si>
  <si>
    <t>07/09/2015 to 08/06/2015</t>
  </si>
  <si>
    <t>07/10/2015 to 08/10/2015</t>
  </si>
  <si>
    <t>7/13/2015 to 8/10/2015</t>
  </si>
  <si>
    <t>07/13/2015 to 8/10/2015</t>
  </si>
  <si>
    <t>07/14/2015 to 08/11/2015</t>
  </si>
  <si>
    <t>07/15/2015 to 08/12/2015</t>
  </si>
  <si>
    <t>07/28/2015 to 8/27/2015</t>
  </si>
  <si>
    <t>07/24/2015 to 8/26/2015</t>
  </si>
  <si>
    <t>Scurry County Jail 54%/ SO 46% 400 37th St</t>
  </si>
  <si>
    <t>07/23/2015 TO 8/25/2015</t>
  </si>
  <si>
    <t>07/28/2015 TO 08/28/2015</t>
  </si>
  <si>
    <t>07/28/2015 to 8/28/2015</t>
  </si>
  <si>
    <t>07/29/2015 TO 08/31/2015</t>
  </si>
  <si>
    <t>08/01/2015 to 09/01/2015</t>
  </si>
  <si>
    <t>08/06/2015 to 09/01/2015</t>
  </si>
  <si>
    <t>07/28/2015 TO 08/27/2015</t>
  </si>
  <si>
    <t>08/04/2015 TO 09/01/2015</t>
  </si>
  <si>
    <t>08/01/2015 TO 08/31/2015</t>
  </si>
  <si>
    <t>08/10/2015 to 09/10/2015</t>
  </si>
  <si>
    <t>08/11/2015 to 09/09/2015</t>
  </si>
  <si>
    <t>08/07/2015 to 09/07/2015</t>
  </si>
  <si>
    <t>08/12/2015 to 09/10/2015</t>
  </si>
  <si>
    <t>08/10/215 TO 09/10/2015</t>
  </si>
  <si>
    <t>COLORADO RIVER MUNICIPAL WATER DISTRICT</t>
  </si>
  <si>
    <t>Loading Rack thomas 48400</t>
  </si>
  <si>
    <t>10-1924-00</t>
  </si>
  <si>
    <t>6/28/2015 to 08/27/2015</t>
  </si>
  <si>
    <t>08/05/2015 TO 09/02/2015</t>
  </si>
  <si>
    <t>08/13/2015 to 09/13/2015</t>
  </si>
  <si>
    <t>08/29/2015 TO 9/25/2015</t>
  </si>
  <si>
    <t>09/01/2015 to 10/01/2015</t>
  </si>
  <si>
    <t>09/01/2015 TO 10/01/2015</t>
  </si>
  <si>
    <t>8/27/2015 TO 9/23/2015</t>
  </si>
  <si>
    <t>09/01/2015 TO 09/28/2015</t>
  </si>
  <si>
    <t>08/27/2015 TO 09/23/2015</t>
  </si>
  <si>
    <t>08/28/2015 TO 9/25/2015</t>
  </si>
  <si>
    <t>08/29/2015 to 09/25/2015</t>
  </si>
  <si>
    <t>09/02/2015 TO 10/01/2015</t>
  </si>
  <si>
    <t>09/13/2015 TO 10/13/2015</t>
  </si>
  <si>
    <t>09/10/2015 TO 10/08/2015</t>
  </si>
  <si>
    <t>9/10/2015 TO 10/08/2015</t>
  </si>
  <si>
    <t>9/1/2015 TO 10/01/2015</t>
  </si>
  <si>
    <t>08/31/2015 TO 10/01/2015</t>
  </si>
  <si>
    <t>09/08/2015 TO 10/06/2015</t>
  </si>
  <si>
    <t>09/03/2015 TO 10/04/2015</t>
  </si>
  <si>
    <t>09/10/2015 TO 10/10/2015</t>
  </si>
  <si>
    <t>09/11/2015 TO 10/11/2015</t>
  </si>
  <si>
    <t>09/10/2015 TO 10/12/2015</t>
  </si>
  <si>
    <t>09/14/2015 TO 10/12/2015</t>
  </si>
  <si>
    <t>09/12/2015 TO 10/12/2015</t>
  </si>
  <si>
    <t>9/14/2015 TO 10/12/2015</t>
  </si>
  <si>
    <t>09/23/2015 TO 10/23/2015</t>
  </si>
  <si>
    <t xml:space="preserve"> </t>
  </si>
  <si>
    <t>9/24/2015 TO 10/26/2015</t>
  </si>
  <si>
    <t>09/24/2015 TO 10/28/2015</t>
  </si>
  <si>
    <t>09/29/2015 TO 10/29/2015</t>
  </si>
  <si>
    <t>09/29/2015 TO10/29/2015</t>
  </si>
  <si>
    <t>09/26/2015 TO 10/28/2015</t>
  </si>
  <si>
    <t>09/24/2015 TO 10/26/2015</t>
  </si>
  <si>
    <t>09/26/2015 TO 10/27/2015</t>
  </si>
  <si>
    <r>
      <t>Sheriff Office</t>
    </r>
    <r>
      <rPr>
        <sz val="11"/>
        <color rgb="FFFF0000"/>
        <rFont val="Calibri"/>
        <family val="2"/>
        <scheme val="minor"/>
      </rPr>
      <t xml:space="preserve"> 46%/Jail 54%</t>
    </r>
  </si>
  <si>
    <t>8/29/2015 TO 9/25/2015</t>
  </si>
  <si>
    <t>SCURRY COUNTY 'S UTILITY USAGE FOR SEPTEMBER 2015</t>
  </si>
  <si>
    <t>10/01/2015 TO 10/31/2015</t>
  </si>
  <si>
    <t>10/01/2015 TO 11/01/2015</t>
  </si>
  <si>
    <t>10/02/2015 TO 11/02/2015</t>
  </si>
  <si>
    <t>10/01/2015  TO 11/01/2015</t>
  </si>
  <si>
    <t>10/05/2015 TO 11/02/2015</t>
  </si>
  <si>
    <t>10/01/2015 TO 11/02/2015</t>
  </si>
  <si>
    <t>10/10/2015 TO 11/10/2015</t>
  </si>
  <si>
    <t>10/13/2015 TO 11/10/2015</t>
  </si>
  <si>
    <t>08/27/2015 TO 10/26/2015</t>
  </si>
  <si>
    <t>SCURRY COUNTY 'S UTILITY USAGE FOR NOVEMBER 2015</t>
  </si>
  <si>
    <t>10/27/2015 TO 11/20/2015</t>
  </si>
  <si>
    <t>10/29/2015 TO 11/24/2015</t>
  </si>
  <si>
    <t>10/28/2015 TO 11/24/2015</t>
  </si>
  <si>
    <t xml:space="preserve">10/30/2015 TO 11/25/2015 </t>
  </si>
  <si>
    <t>10/31/2015 to 12/01/2015</t>
  </si>
  <si>
    <t>11/03/2015 TO 12/01/2015</t>
  </si>
  <si>
    <t>11/02/2015 TO 12/01/2015</t>
  </si>
  <si>
    <t>11/01/2015 TO 12/01/2015</t>
  </si>
  <si>
    <t>11/02/2015 t11/30/2015</t>
  </si>
  <si>
    <t>11/10/2015 TO 12/01/2015</t>
  </si>
  <si>
    <t>11/01/2051 TO 12/01/2015</t>
  </si>
  <si>
    <t>11/01/205 TO 12/01/2105</t>
  </si>
  <si>
    <t>11/03/2015 TO12/03/2015</t>
  </si>
  <si>
    <t>11/03/2015 TO 12/03/2015</t>
  </si>
  <si>
    <t>12/03/2015 TO 12/03/2015</t>
  </si>
  <si>
    <t>1105/2015 TO 12/05/2015</t>
  </si>
  <si>
    <t>11/05/2015 TO 12/05/2015</t>
  </si>
  <si>
    <t xml:space="preserve">11/03/2015 TO 12/03/2015 </t>
  </si>
  <si>
    <t>11/10/2015 TO 12/10/2015</t>
  </si>
  <si>
    <t xml:space="preserve">11/10/2015 TO 12/10/2015 </t>
  </si>
  <si>
    <t>11/21/2015 TO 12/22/2015</t>
  </si>
  <si>
    <t>11/25/2015 TO 12/30/2015</t>
  </si>
  <si>
    <t xml:space="preserve">11/24/2015 TO 12/28/2015 </t>
  </si>
  <si>
    <t>11/21/2015 TO 12/28/2015</t>
  </si>
  <si>
    <t>11/11/2015 TO 12/13/2015</t>
  </si>
  <si>
    <t>SCURRY COUNTY 'S UTILITY USAGE FOR DECEMEBER 2015</t>
  </si>
  <si>
    <t>COLORADO RIVER MUNICIPAL WATER DISTRICT 7140</t>
  </si>
  <si>
    <t>HERMLEIGH WATER WORKS 1325</t>
  </si>
  <si>
    <t>U&amp;F Water Supply 1774</t>
  </si>
  <si>
    <t>IRA WATER SUPPLY CORP 1362</t>
  </si>
  <si>
    <t>CITY OF SNYDER 1150</t>
  </si>
  <si>
    <t>BIG COUNTRY ELECTRIC COOPERATIVE R 3637      S 2748</t>
  </si>
  <si>
    <t>CONSTELLATION 5830</t>
  </si>
  <si>
    <t>ATMOS 1417</t>
  </si>
  <si>
    <t xml:space="preserve">11/26/2015 TO 12/31/2015 </t>
  </si>
  <si>
    <t>12/2/2015 TO 1/04/2016</t>
  </si>
  <si>
    <t>12/01/2015 TO 01/01/2016</t>
  </si>
  <si>
    <t>12/01/2016 TO 01/01/2016</t>
  </si>
  <si>
    <t>12/01/2015  TO 01/01/2016</t>
  </si>
  <si>
    <t>11/30/2015 TO 12/31/2015</t>
  </si>
  <si>
    <t>12/04/2015 TO 01/05/2016</t>
  </si>
  <si>
    <t>12/08/2015 TO 01/08/2016</t>
  </si>
  <si>
    <t>12/10/2015 TO 01/10/2015</t>
  </si>
  <si>
    <t>1-1192915944</t>
  </si>
  <si>
    <t>1-JQAKXV</t>
  </si>
  <si>
    <t>1-JQAKQV</t>
  </si>
  <si>
    <t>1-182LSQQ</t>
  </si>
  <si>
    <t>1-JQAKRD</t>
  </si>
  <si>
    <t>1-JQAKWD</t>
  </si>
  <si>
    <t>1-JQAKSD</t>
  </si>
  <si>
    <t>1-JQAKVV</t>
  </si>
  <si>
    <t>1-JQAL5N</t>
  </si>
  <si>
    <t>1-JQ7HJV</t>
  </si>
  <si>
    <t>1-JQAKUV</t>
  </si>
  <si>
    <t>1-UR2HL1</t>
  </si>
  <si>
    <t>1-JQAL2N</t>
  </si>
  <si>
    <t>1-JQAL75</t>
  </si>
  <si>
    <t>1-JQ7HLV</t>
  </si>
  <si>
    <t>1-19SWE4Z</t>
  </si>
  <si>
    <t>1-JQAKTV</t>
  </si>
  <si>
    <t>1-JQ7HKV</t>
  </si>
  <si>
    <t>1-JQ7HJD</t>
  </si>
  <si>
    <t>1-JQAL35</t>
  </si>
  <si>
    <t>1-JQAKWV</t>
  </si>
  <si>
    <t>1-JQAL6N</t>
  </si>
  <si>
    <t>1-182LSR6</t>
  </si>
  <si>
    <t>1-JQ7HMD</t>
  </si>
  <si>
    <t>1-182LSQI</t>
  </si>
  <si>
    <t>1-JQAL8X</t>
  </si>
  <si>
    <t>1-JQAKRV</t>
  </si>
  <si>
    <t>1-1ETQU8V</t>
  </si>
  <si>
    <t>1-JQAKYD</t>
  </si>
  <si>
    <t>1-JQAL3N</t>
  </si>
  <si>
    <t>1-1WELCSR</t>
  </si>
  <si>
    <t>1-1WELCOT</t>
  </si>
  <si>
    <t>1-JQAKYV</t>
  </si>
  <si>
    <t>1-JQAL7N</t>
  </si>
  <si>
    <t>1-JQAKZD</t>
  </si>
  <si>
    <t>1-JQAKSV</t>
  </si>
  <si>
    <t>1-JQAKZV</t>
  </si>
  <si>
    <t>1-JQ7HKD</t>
  </si>
  <si>
    <t>1-JQAL8F</t>
  </si>
  <si>
    <t>1-182LSQY</t>
  </si>
  <si>
    <t>1-JQAL0V</t>
  </si>
  <si>
    <t>1-JQAKXD</t>
  </si>
  <si>
    <t>1-JQAL55</t>
  </si>
  <si>
    <t>1-UKXRJZ</t>
  </si>
  <si>
    <t>1-JQAKTD</t>
  </si>
  <si>
    <t>1-JQ7HLD</t>
  </si>
  <si>
    <t>1-JQAKUD</t>
  </si>
  <si>
    <t>1-JQAL4N</t>
  </si>
  <si>
    <t>1-JQAL45</t>
  </si>
  <si>
    <t>1-182LSQA</t>
  </si>
  <si>
    <t>1-JQAL25</t>
  </si>
  <si>
    <t>1-JQAL65</t>
  </si>
  <si>
    <t>12/11/2015 TO 1/11/2016</t>
  </si>
  <si>
    <t>12/10/2015 TO 1/11/2016</t>
  </si>
  <si>
    <t>12/10/2015 TO 01/11/2016</t>
  </si>
  <si>
    <t>12/03/2015 TO 1/03/2016</t>
  </si>
  <si>
    <t>12/11/2015 TO 01/11/2016</t>
  </si>
  <si>
    <t>12/10/2015 TO 01/10/2016</t>
  </si>
  <si>
    <t>12/59/2015 TO 1/22/2016</t>
  </si>
  <si>
    <t>10/26/2015 TO 12/25/2015</t>
  </si>
  <si>
    <t>11/25/2016 TO 12/30/2015</t>
  </si>
  <si>
    <t>12/10/2016 TO 01/10/2016</t>
  </si>
  <si>
    <t>12/23/2015 TO 1/22/2016</t>
  </si>
  <si>
    <t>12/14/2015 TO 01/12/2016</t>
  </si>
  <si>
    <t>SCURRY COUNTY 'S UTILITY USAGE FOR JANUARY 2016</t>
  </si>
  <si>
    <t>12/31/2015 TO 1/27/2016</t>
  </si>
  <si>
    <t>1/01/2016 TO 1/28/2016</t>
  </si>
  <si>
    <t>12/29/2015  TO 01/25/2016</t>
  </si>
  <si>
    <t>01/01/2016 TO 01/28/2016</t>
  </si>
  <si>
    <t>12/29/2015 TO 01/25/2016</t>
  </si>
  <si>
    <t>01/01/2016 TO 02/01/2016</t>
  </si>
  <si>
    <t xml:space="preserve">1/05/2015 TO  02/01/2016 </t>
  </si>
  <si>
    <t>01/05/2016 TO 02/01/2016</t>
  </si>
  <si>
    <t>12/29/2015 T01/26/2016</t>
  </si>
  <si>
    <t>01/01/ 2016 TO 02/01/2016</t>
  </si>
  <si>
    <t>0/01/2016 TO 02/01/2016</t>
  </si>
  <si>
    <t>01/01/2015 TO 02/01/2016</t>
  </si>
  <si>
    <t>01/10/2016 TO 02/10/2016</t>
  </si>
  <si>
    <t>01/08/2016 TO 02/08/2016</t>
  </si>
  <si>
    <t xml:space="preserve">01/13/2016 TO 02/11/2016 </t>
  </si>
  <si>
    <t>01/23/2016 TO 02/19/2016</t>
  </si>
  <si>
    <t>01/23/2016 TO 2/13/2016</t>
  </si>
  <si>
    <t>12/31/2015 TO 01/31/2016</t>
  </si>
  <si>
    <t>01/26/2016 TO 02/24/2016</t>
  </si>
  <si>
    <t>01/29/2016 TO 02/25/2016</t>
  </si>
  <si>
    <t>01/27/2016 TO 02/23/2016</t>
  </si>
  <si>
    <t>SCURRY COUNTY 'S UTILITY USAGE FOR FEBRAURY 2016</t>
  </si>
  <si>
    <t>02/01/2016 TO 03/01/2016</t>
  </si>
  <si>
    <t>01/31/2016 TO 02/29/2016</t>
  </si>
  <si>
    <t>01/28/2016 TO 02/26/2016</t>
  </si>
  <si>
    <t>02/04/2016 TO 03/03/2016</t>
  </si>
  <si>
    <t>02/03/2016 TO 03/01/2016</t>
  </si>
  <si>
    <t>02/01/2016 TO 03/03/2016</t>
  </si>
  <si>
    <t>02/08/2016 TO 03/07/2016</t>
  </si>
  <si>
    <t>02/10/2016 TO 03/09/2016</t>
  </si>
  <si>
    <t>02/11/2016 TO 03/10/2016</t>
  </si>
  <si>
    <r>
      <t>Sheriff Office</t>
    </r>
    <r>
      <rPr>
        <sz val="10"/>
        <color rgb="FFFF0000"/>
        <rFont val="Calibri"/>
        <family val="2"/>
        <scheme val="minor"/>
      </rPr>
      <t xml:space="preserve"> 46%/Jail 54%</t>
    </r>
  </si>
  <si>
    <t>12/25/2015 TO 02/23/2016</t>
  </si>
  <si>
    <t>02/12/2016 TO 03/12/2016</t>
  </si>
  <si>
    <t>02/16/2016 TO 03/12/2016</t>
  </si>
  <si>
    <t>02/24/2016 TO 03/24/2016</t>
  </si>
  <si>
    <t>02/20/2016 TO 3/21/2016</t>
  </si>
  <si>
    <t>02/26/2016 TO 03/29/2016</t>
  </si>
  <si>
    <t>02/27/2016 TO 03/29/2016</t>
  </si>
  <si>
    <t>03/01/2016 TO 03/30/2016</t>
  </si>
  <si>
    <t>02/25/2016 TO 03/24/2016</t>
  </si>
  <si>
    <t>03/01/2016 TO 04/01/2016</t>
  </si>
  <si>
    <t>SCURRY COUNTY 'S UTILITY USAGE FOR MARCH 2016</t>
  </si>
  <si>
    <t>03/02/2016 TO 04/04/2016</t>
  </si>
  <si>
    <t>03/01/2016  TO 04/01/2016</t>
  </si>
  <si>
    <t>02/272016 TO 03/29/2016</t>
  </si>
  <si>
    <t>03/01/2016 TO 4/01/2016</t>
  </si>
  <si>
    <t>03/04/2016 TO 04/04/2016</t>
  </si>
  <si>
    <t>03/08/2016 TO 04/07/2016</t>
  </si>
  <si>
    <t>03/10/2016 TO 04/010/2016</t>
  </si>
  <si>
    <t>03/10/2016 TO 04/10/2016</t>
  </si>
  <si>
    <t>03/10/2016 TO0 4/10/2016</t>
  </si>
  <si>
    <t>03/11/2016 TO 04/11/2016</t>
  </si>
  <si>
    <t>02/14/2016 TO 03/14/2016</t>
  </si>
  <si>
    <t>03/14/2016 TO 04/12/2016</t>
  </si>
  <si>
    <t>03/22/2016 TO 04/21/2016</t>
  </si>
  <si>
    <t>03/25/2016 TO 04/22/2016</t>
  </si>
  <si>
    <t>03/31/2016 TO 04/20/2016</t>
  </si>
  <si>
    <t>03/30/2016 TO 04/27/2016</t>
  </si>
  <si>
    <t>03/28/2016 TO 04/30/2016</t>
  </si>
  <si>
    <t>04/01/2016 TO 04/30/2016</t>
  </si>
  <si>
    <t>04/04/2016 TO 04/30/2016</t>
  </si>
  <si>
    <t>SCURRY COUNTY 'S UTILITY USAGE FOR APRIL 2016</t>
  </si>
  <si>
    <t>04/01/2106 TO</t>
  </si>
  <si>
    <t>04/05/2016 TO 05/02/2016</t>
  </si>
  <si>
    <t>04/01/2016 TO 05/01/2016</t>
  </si>
  <si>
    <t>04/01/2106 TO 05/01/2016</t>
  </si>
  <si>
    <t>0401/2016 TO 05/01/2016</t>
  </si>
  <si>
    <t>03/31/2016 TO 04/29/2016</t>
  </si>
  <si>
    <t>02/23/2016 TO 04/23/2016</t>
  </si>
  <si>
    <t>04/04/2016 T0 05/03/2016</t>
  </si>
  <si>
    <t>04/04/2016 TO 05/03/2016</t>
  </si>
  <si>
    <t>04/11/2016 TO 05/092016</t>
  </si>
  <si>
    <t>Boys &amp; Girls Club 1500 28TH ST GRDL</t>
  </si>
  <si>
    <t>04/10/2016 TO 05/10/2016</t>
  </si>
  <si>
    <t>N Courthouse LAWN</t>
  </si>
  <si>
    <t>S Courthouse Lawn</t>
  </si>
  <si>
    <t>04/12/2016 TO 05/10/2016</t>
  </si>
  <si>
    <t>04/13/206 TO 05/11/2016</t>
  </si>
  <si>
    <t>04/13/2016 TO 05/11/2016</t>
  </si>
  <si>
    <t>04/23/2016 TO 05/23/2016</t>
  </si>
  <si>
    <t>04/22/2016 TO 05/20/2016</t>
  </si>
  <si>
    <t>04/28/2016 TO 05/25/2016</t>
  </si>
  <si>
    <t>04/27/2016 TO 05/25/2016</t>
  </si>
  <si>
    <t>04/30/2016 TO 05/31/2106</t>
  </si>
  <si>
    <t>04/28/2016 TO 05/26/2016</t>
  </si>
  <si>
    <t>05/01/2016 TO 06/01/2016</t>
  </si>
  <si>
    <t>04/30/2016 TO 06/01/2016</t>
  </si>
  <si>
    <t>SCURRY COUNTY 'S UTILITY USAGE FOR MAY 2016</t>
  </si>
  <si>
    <t>05/03/2016 TO 06/01/216</t>
  </si>
  <si>
    <t>04/29/2016 TO 06/01/2016</t>
  </si>
  <si>
    <t>05/04/2016 TO 06/02/2016</t>
  </si>
  <si>
    <t>05/06/2016 TO 06/06/2016</t>
  </si>
  <si>
    <t>05/11/2016 TO 06/07/2016</t>
  </si>
  <si>
    <t>05/10/2016 TO 06/08/2016</t>
  </si>
  <si>
    <t>05/12/2016 TO 06/12/2061</t>
  </si>
  <si>
    <t>Swimming Pool 2321 N Towle Park Road</t>
  </si>
  <si>
    <t>05/24/2016 TO 06/23/2016</t>
  </si>
  <si>
    <t xml:space="preserve"> PCT 4 5272 S State Highway 208</t>
  </si>
  <si>
    <t>05/21/2016 TO 06/22/2016</t>
  </si>
  <si>
    <t>05/24/2016 TO 06/24/2106</t>
  </si>
  <si>
    <t>05/26/2016 TO 06/28/2016</t>
  </si>
  <si>
    <t>05/27/2016 TO 06/29/2016</t>
  </si>
  <si>
    <t>06/01/2106 TO 07/01/2016</t>
  </si>
  <si>
    <t>06/01/2016 TO 07/01/216</t>
  </si>
  <si>
    <t>Parks 6-15 &amp; 10-400 w Lights NON DEPRTMENTAL</t>
  </si>
  <si>
    <t>SCURRY COUNTY 'S UTILITY USAGE FOR JUNE 2016</t>
  </si>
  <si>
    <t>06/02/216 TO 07/01/2016</t>
  </si>
  <si>
    <t>06/02/2016 TO 07/01/2016</t>
  </si>
  <si>
    <t xml:space="preserve">Parks Fluv Com Prec #2 </t>
  </si>
  <si>
    <t>05/31/2016 TO 06/30/2016</t>
  </si>
  <si>
    <t>06/02/2016 TO 06/30/2016</t>
  </si>
  <si>
    <t>.</t>
  </si>
  <si>
    <t>04/23/2016 TO 06/22/2106</t>
  </si>
  <si>
    <t>06/03/2016 TO 07/04/2016</t>
  </si>
  <si>
    <t>06/07/2016 TO 07/06/2016</t>
  </si>
  <si>
    <t>06/10/2016 TO 07/10/2016</t>
  </si>
  <si>
    <t>06/10/2016 TO 07/11/2016</t>
  </si>
  <si>
    <t>06/09/2016 TO 07/10/2016</t>
  </si>
  <si>
    <t>06/13/2016 TO 07/12/2016</t>
  </si>
  <si>
    <t xml:space="preserve">               </t>
  </si>
  <si>
    <t>06/23/2016 TO 07/02/2016</t>
  </si>
  <si>
    <t>06/24/2016 TO 07/22/2016</t>
  </si>
  <si>
    <t>06/29/2016 TO 07/29/2016</t>
  </si>
  <si>
    <t>06/25/2016 TO 07/22/2106</t>
  </si>
  <si>
    <t>06/30/2016 TO 07/27/2016</t>
  </si>
  <si>
    <t>SCURRY COUNTY 'S UTILITY USAGE FOR JULY 2016</t>
  </si>
  <si>
    <t>07/01/2016 TO 08/01/2016</t>
  </si>
  <si>
    <t>Golf Course</t>
  </si>
  <si>
    <t>Golf Course GOLF COURSE &amp; WW</t>
  </si>
  <si>
    <t>Golf Course PUMP</t>
  </si>
  <si>
    <t>07/02/2016 TO 08/01/2016</t>
  </si>
  <si>
    <t>06/30/2016 TO 07/31/2016</t>
  </si>
  <si>
    <t>07/05/2016 TO 08/02/2016</t>
  </si>
  <si>
    <t>06/13/2016 TO 07/12/2106</t>
  </si>
  <si>
    <t>07/07/2016 TO 08/04/2016</t>
  </si>
  <si>
    <t>07/11/2016 TO 08/08/2016</t>
  </si>
  <si>
    <t>07/12/2016 TO 08/09/2016</t>
  </si>
  <si>
    <t>07/10/2016 TO 08/10/2016</t>
  </si>
  <si>
    <t>07/22/2016 TO 08/22/2016</t>
  </si>
  <si>
    <t>07/27/2016 TO 08/25/2016</t>
  </si>
  <si>
    <t>07/23/2016 TO 08/23/2016</t>
  </si>
  <si>
    <t>HAD CREDIT</t>
  </si>
  <si>
    <t>CHild Welfare 2711 College Ave</t>
  </si>
  <si>
    <t>CHCK AUG CRDT</t>
  </si>
  <si>
    <t>07/28/2016 TO08/26/2016</t>
  </si>
  <si>
    <t>08/01/2016 TO 09/01/2016</t>
  </si>
  <si>
    <t>Golf Country &amp; WW</t>
  </si>
  <si>
    <t>Golf Course Pump</t>
  </si>
  <si>
    <t>Golf Course Country Club PME</t>
  </si>
  <si>
    <t>SCURRY COUNTY 'S UTILITY USAGE FOR AUGUST 2016</t>
  </si>
  <si>
    <t>07/31/2016 TO 08/31/2016</t>
  </si>
  <si>
    <t>08/02/2016 TO 08/31/2016</t>
  </si>
  <si>
    <t>08/02/2016 TO 09/02/2016</t>
  </si>
  <si>
    <t>08/03/2016 TO 09/01/2016</t>
  </si>
  <si>
    <t>06/22/2016 TO 08/21/2016</t>
  </si>
  <si>
    <t>08/05/2016 TO 09/06/2016</t>
  </si>
  <si>
    <t>08/09/2016 TO 09/08/2016</t>
  </si>
  <si>
    <t>08/10/2016 TO 09/10/2016</t>
  </si>
  <si>
    <t>08/11/2016 TO 09/12/2016</t>
  </si>
  <si>
    <t>06/01/2016 TO 07/01/2016</t>
  </si>
  <si>
    <t>08/24/2016 TO 09/23/2016</t>
  </si>
  <si>
    <t>SCURRY COUNTY 'S UTILITY USAGE FOR SEPTEMBER 2016</t>
  </si>
  <si>
    <t>08/26/2016 TO 09/27/2016</t>
  </si>
  <si>
    <t>08/23/2106 TO 09/22/2016</t>
  </si>
  <si>
    <t>08/27/2016 TO 09/28/2016</t>
  </si>
  <si>
    <r>
      <t>Sheriff Office</t>
    </r>
    <r>
      <rPr>
        <i/>
        <sz val="10"/>
        <color rgb="FFFF0000"/>
        <rFont val="Times New Roman"/>
        <family val="1"/>
      </rPr>
      <t xml:space="preserve"> 46%/Jail 54%</t>
    </r>
  </si>
  <si>
    <t>08/31/2016 TO 10/01/2016</t>
  </si>
  <si>
    <t>09/01/2016 TO 10/01/2016</t>
  </si>
  <si>
    <t>09/10/2016 TO 10/03/2016</t>
  </si>
  <si>
    <t>GOLF COURSE&amp;WW</t>
  </si>
  <si>
    <t>GOLF COURSE PUMP</t>
  </si>
  <si>
    <t>GOLF COURSECNTRY CLB PME</t>
  </si>
  <si>
    <t>09/07/2016 TO 10/08/2016</t>
  </si>
  <si>
    <t>09/09/2016 TO 10/10/2016</t>
  </si>
  <si>
    <t>SCURRY COUNTY 'S UTILITY USAGE FOR OCTOBER  2016</t>
  </si>
  <si>
    <t>09/12/2016 TO 10/10/2016</t>
  </si>
  <si>
    <t>09/13/2016 TO 10/11/2016</t>
  </si>
  <si>
    <t>09/23/22106 TO 10/21/2016</t>
  </si>
  <si>
    <t>09/24/2016 TO 10/25/2016</t>
  </si>
  <si>
    <t>09/27/2016 TO 10/27/2016</t>
  </si>
  <si>
    <t>09/29/2016 TO 10/28/2016</t>
  </si>
  <si>
    <t>09/28/2016 TO 10/27/2016</t>
  </si>
  <si>
    <t>10/01/2016 TO 11/01/2016</t>
  </si>
  <si>
    <t>09/29/2016 TO 10/27/2016</t>
  </si>
  <si>
    <t xml:space="preserve"> Pct 1 Maintenance Barn</t>
  </si>
  <si>
    <t>PCT 1 Equipment Shed</t>
  </si>
  <si>
    <t xml:space="preserve"> Prec 4 Water Well</t>
  </si>
  <si>
    <t xml:space="preserve"> PRES 2-WW-Barn-Lite</t>
  </si>
  <si>
    <t>GOLF COURSE &amp; WW</t>
  </si>
  <si>
    <t>COUNTRY CLUB PME</t>
  </si>
  <si>
    <t>10/04/2016 TO 11/01/2016</t>
  </si>
  <si>
    <t>8/21/2016 TO 10/20/2016</t>
  </si>
  <si>
    <t>10/10/2016 TO 11/07/2016</t>
  </si>
  <si>
    <t>10/10/2016 T0 11/10/2016</t>
  </si>
  <si>
    <t>10/12/2016 TO 11/09/2016</t>
  </si>
  <si>
    <t>10/11/2016 TO 11/08/2016</t>
  </si>
  <si>
    <t>GOLF COURSE  LUBBOCK HWY C CLB</t>
  </si>
  <si>
    <t>09/08/2016 TO 10/06/2016&amp;10/07/2016 TO 11/06/2016</t>
  </si>
  <si>
    <t>1-JQAL1N</t>
  </si>
  <si>
    <t>PAST DUE BILLS IN POBOX</t>
  </si>
  <si>
    <t>10/26/2016 TO 11/21/2016</t>
  </si>
  <si>
    <t>10/22/2016 TO 11/21/2016</t>
  </si>
  <si>
    <t>10/26/2016 TO 11/22/2016</t>
  </si>
  <si>
    <t>11/01/2016 TO 12/01/2016</t>
  </si>
  <si>
    <t>6.14-</t>
  </si>
  <si>
    <t>10/28/2016 TO 11/29/2016</t>
  </si>
  <si>
    <t>10/27/2016 TO 11/29/2016</t>
  </si>
  <si>
    <t>10/29/2016 TO 11/30/2016</t>
  </si>
  <si>
    <t>11/02/2016 TO 12/01/2016</t>
  </si>
  <si>
    <t>SCURRY COUNTY 'S UTILITY USAGE FOR NOVEMBER  2016</t>
  </si>
  <si>
    <t>11/08/2016 TO 12/08/2016</t>
  </si>
  <si>
    <t>11/10/2016 TO 12/10/2016</t>
  </si>
  <si>
    <t>11/04/2016 TO 12/06/2016</t>
  </si>
  <si>
    <t>11/10/2061 TO 12/12/2016</t>
  </si>
  <si>
    <t>11/11/2016 TO 12/12/2016</t>
  </si>
  <si>
    <t>11/13/2016 TO 12-12-2016</t>
  </si>
  <si>
    <t>11/22/2016 TO 12/22/2016</t>
  </si>
  <si>
    <t>11/23/2016 TO 12/22/2016</t>
  </si>
  <si>
    <t>12/01/2016 TO 12/29/2016</t>
  </si>
  <si>
    <t>11/29/2016 TO 12/27/2016</t>
  </si>
  <si>
    <t>11/30/2016 TO 12/28/2016</t>
  </si>
  <si>
    <t>12/02/2016 TO 01/03/2017</t>
  </si>
  <si>
    <t>12/01/2016 TO 01/01/2017</t>
  </si>
  <si>
    <t>12/01/2106 TO 01/01/2017</t>
  </si>
  <si>
    <t>01/07/2016 TO 01/08/2017</t>
  </si>
  <si>
    <t>12/10/2016 TO 01/10/2017</t>
  </si>
  <si>
    <t>10/20/2016 TO 12/19/2016</t>
  </si>
  <si>
    <t>12/09/2016 TO 01/09/2017</t>
  </si>
  <si>
    <t>12/05/2016 TO 01/04/2017</t>
  </si>
  <si>
    <t>12/12/2016 TO 01/10/2017</t>
  </si>
  <si>
    <t>12/23/2016 TO 01/25/2017</t>
  </si>
  <si>
    <t>12/28/2016 TO 01/24/2017</t>
  </si>
  <si>
    <t>12/27/2016 TO 01/31/2017</t>
  </si>
  <si>
    <t>01/01/2017 TO 02/01/2017</t>
  </si>
  <si>
    <t>ScurryCounty Airport NortH Hanger &amp; Lights 2757 Round Rock Ave</t>
  </si>
  <si>
    <t>01/04/2017 TO 02/02/2017</t>
  </si>
  <si>
    <t>12/30/2016 TO 01/30/2017</t>
  </si>
  <si>
    <t>12/29/2016 TO 01/27/2017</t>
  </si>
  <si>
    <t>Maintenance 1806 25th St  Grdl 5/POWERLIGHT FOR EVENTS</t>
  </si>
  <si>
    <t>SCURRY COUNTY 'S UTILITY USAGE FOR DECEMBER  2016</t>
  </si>
  <si>
    <t>SCURRY COUNTY 'S UTILITY USAGE FOR JANUARY 2017</t>
  </si>
  <si>
    <t>`</t>
  </si>
  <si>
    <t>CAVALLO ENERGY TEXAS 6798</t>
  </si>
  <si>
    <t>SCURRY CO STREET L STLG 2</t>
  </si>
  <si>
    <t>01/20/2017 TO 02/10/2017</t>
  </si>
  <si>
    <t>ESI ID#'S</t>
  </si>
  <si>
    <t>#10443720000274580</t>
  </si>
  <si>
    <t>ACCT#</t>
  </si>
  <si>
    <t>**IST BILL</t>
  </si>
  <si>
    <t>CONTRCT TILL 01/20/2020</t>
  </si>
  <si>
    <t>01/10/2017 TO 02/10/2017</t>
  </si>
  <si>
    <t>01/26/2017 TO 02/22/2017</t>
  </si>
  <si>
    <t>01/25/2017 TO 02/21/2017</t>
  </si>
  <si>
    <t>01/28/2017 TO 02/27/2017</t>
  </si>
  <si>
    <t>02/01/2017 TO 03/01/2017</t>
  </si>
  <si>
    <t>Parks LL WEST FLD PRESS BOX&amp;L</t>
  </si>
  <si>
    <t>Parks SOFTBALL FIELD&amp;WW</t>
  </si>
  <si>
    <t>Scurry County AWOS-(WEATHER SYSTEM)</t>
  </si>
  <si>
    <t>MUSEUM HANGAR</t>
  </si>
  <si>
    <t>FLUVANNA STREET Lights NON DEPRTMENTAL</t>
  </si>
  <si>
    <t>.84-</t>
  </si>
  <si>
    <t>01/31/2017 TO 02/28/2017</t>
  </si>
  <si>
    <t>01/12/2017 TO 02/10/2017</t>
  </si>
  <si>
    <t>***1ST BILL</t>
  </si>
  <si>
    <t>#10443720000117936</t>
  </si>
  <si>
    <t>#10443720008184322</t>
  </si>
  <si>
    <t>#10443720008234100</t>
  </si>
  <si>
    <t>#10443720005262911</t>
  </si>
  <si>
    <t>#10443720009261200</t>
  </si>
  <si>
    <t>#10443720004934809</t>
  </si>
  <si>
    <t>#10443720008463322</t>
  </si>
  <si>
    <t>#10443720005027654</t>
  </si>
  <si>
    <t>#10443720005089282</t>
  </si>
  <si>
    <t>#10443720009498071</t>
  </si>
  <si>
    <t>#10443720005026615</t>
  </si>
  <si>
    <t>#10443720007480591</t>
  </si>
  <si>
    <t>#10443720005031405</t>
  </si>
  <si>
    <t>#10443720008934894</t>
  </si>
  <si>
    <t>#10443720005231911</t>
  </si>
  <si>
    <t>#10443720005276024</t>
  </si>
  <si>
    <t>#10443720005036644</t>
  </si>
  <si>
    <t>#10443720005037326</t>
  </si>
  <si>
    <t>#10443720005105092</t>
  </si>
  <si>
    <t>#10443720008327232</t>
  </si>
  <si>
    <t>#10443720004964784</t>
  </si>
  <si>
    <t>#10443720004968878</t>
  </si>
  <si>
    <t>#10443720005074495</t>
  </si>
  <si>
    <t>#10443720006973803</t>
  </si>
  <si>
    <t>#10443720005265019</t>
  </si>
  <si>
    <t>#10443720000149091</t>
  </si>
  <si>
    <t>#10443720007010755</t>
  </si>
  <si>
    <t>#10443720006722734</t>
  </si>
  <si>
    <t>#10443720004426036</t>
  </si>
  <si>
    <t>#10443720004912148</t>
  </si>
  <si>
    <t>#10443720004914473</t>
  </si>
  <si>
    <t>#10443720005020429</t>
  </si>
  <si>
    <t>#10443720004962800</t>
  </si>
  <si>
    <t>#10443720004892432</t>
  </si>
  <si>
    <t>#10443720005021826</t>
  </si>
  <si>
    <t>#10443720005265050</t>
  </si>
  <si>
    <t>#10443720005074402</t>
  </si>
  <si>
    <t>#10443720000710315</t>
  </si>
  <si>
    <t>#10443720005145888</t>
  </si>
  <si>
    <t>#10443720005264802</t>
  </si>
  <si>
    <t>#10443720004955887</t>
  </si>
  <si>
    <t>#10443720005064854</t>
  </si>
  <si>
    <t>#10443720004932391</t>
  </si>
  <si>
    <t>#10443720005041139</t>
  </si>
  <si>
    <t>#10443720005037202</t>
  </si>
  <si>
    <t>#10443720004914628</t>
  </si>
  <si>
    <t>#10443720005264554</t>
  </si>
  <si>
    <t>#10443720004426005</t>
  </si>
  <si>
    <t>#10443720008239130</t>
  </si>
  <si>
    <t>#10443720005089344</t>
  </si>
  <si>
    <t>00907 25TH ST(DIAMOND M)</t>
  </si>
  <si>
    <t>1500 28TH ST GRDL(BOYS&amp;GIRLS CLUB)</t>
  </si>
  <si>
    <t>03902 COLLEGE AVE(EMS)</t>
  </si>
  <si>
    <t>00000STREETLIGHTS STLG(NON-DEPT)</t>
  </si>
  <si>
    <t>STREETLIGHTS STLG(NON-DEPT)</t>
  </si>
  <si>
    <t>SCURRY COUNTY STREET L STLG 2(NON-DEPT)</t>
  </si>
  <si>
    <t>SCURRYCOUNTY STREET LIGHTSSTLG 3(NON-DEPT)</t>
  </si>
  <si>
    <t>SCURRYCOUNTY STREET LIGHTSSTLG 2(NON-DEPT)</t>
  </si>
  <si>
    <t>02605 AVENUE M GRDL 2(SENIOR CNTR)</t>
  </si>
  <si>
    <t>2605 AVENUE M GRDL 2(SENIOR CNTR)</t>
  </si>
  <si>
    <t>2605 AVENUE M GRDL 3(SENIOR CNTR)</t>
  </si>
  <si>
    <r>
      <t>400 37TH ST</t>
    </r>
    <r>
      <rPr>
        <sz val="10"/>
        <color rgb="FFFF0000"/>
        <rFont val="Calibri"/>
        <family val="2"/>
        <scheme val="minor"/>
      </rPr>
      <t>(SHERIFF46%/JAIL54%</t>
    </r>
    <r>
      <rPr>
        <sz val="10"/>
        <color theme="1"/>
        <rFont val="Calibri"/>
        <family val="2"/>
        <scheme val="minor"/>
      </rPr>
      <t>)</t>
    </r>
  </si>
  <si>
    <t>2111 12ST ST(SHERIFF)</t>
  </si>
  <si>
    <t>1806 25TH ST BARN PRE3(COMM PCT 3)</t>
  </si>
  <si>
    <t>02605 AVENUE M GRDL 1(SENIOR CNTR)</t>
  </si>
  <si>
    <t>1300 37TH ST WELL(PARK)</t>
  </si>
  <si>
    <t>1300 37TH ST RSTR(PARK)</t>
  </si>
  <si>
    <t>1000 AVENUE O GRDL(PARK)</t>
  </si>
  <si>
    <t>2203 N TOWLE PARK RD(PARK)</t>
  </si>
  <si>
    <t>1000 AVENUE O WELL(PARK)</t>
  </si>
  <si>
    <t>1101 AVE O(PARK)</t>
  </si>
  <si>
    <t>1300 26TH ST GRDL(PARK)</t>
  </si>
  <si>
    <t>2401 TOWLE PARK RD(PARK)</t>
  </si>
  <si>
    <t>2317 N TOWLE PARK RD PERM(PARK)</t>
  </si>
  <si>
    <t>704 WHEAT ST(PARK)</t>
  </si>
  <si>
    <t>704 WHEAT ST GRDL(PARK)</t>
  </si>
  <si>
    <t>2300 TOWEL PARKD RD WELL(PARK)</t>
  </si>
  <si>
    <t>1300 37TH ST UNIT B(PARK)</t>
  </si>
  <si>
    <t>1201 AVENUE O(PARK)</t>
  </si>
  <si>
    <t>00000 @ COURT HOUSE(MAINTENANCE)</t>
  </si>
  <si>
    <t>1806 25TH ST GRDL 5(PARK)</t>
  </si>
  <si>
    <t>1916 23RD ST GRDL(LIBRARY)</t>
  </si>
  <si>
    <t>01916 23RD ST(LIBRARY)</t>
  </si>
  <si>
    <t>1806 25TH ST STE 205(MAINTENANCE)</t>
  </si>
  <si>
    <t>1500 28TH ST(BOYS &amp; GIRLS CLUB)</t>
  </si>
  <si>
    <t>SCURRYCOUNTY STREET L STLG1(NON-DEPT)</t>
  </si>
  <si>
    <t>C CITY HWY PREC 4 GRDL(COOM PCT 4)</t>
  </si>
  <si>
    <t>HERM WATER WLS WELL(HWW)</t>
  </si>
  <si>
    <t>00911 26TH ST (HEALTH UNIT)</t>
  </si>
  <si>
    <t>LUBBOCK HWY C CLB(GOLF COURSE)</t>
  </si>
  <si>
    <t>911 26TH ST GRDL(HEALTH UNIT)</t>
  </si>
  <si>
    <t>00000 WATER TOWER(HWW)</t>
  </si>
  <si>
    <t>2251 THOMSON RD(EXTENSION SERVICE)</t>
  </si>
  <si>
    <t>806 HERM ST BLDG(HWW)</t>
  </si>
  <si>
    <t>2511 COLLEGE AVE(PROBATION)</t>
  </si>
  <si>
    <t xml:space="preserve"> 2711 COLLEGE AVE(NON-DEPT CHILD WELFARE)</t>
  </si>
  <si>
    <t>3902 COLLEGE AVE APT(EMS)</t>
  </si>
  <si>
    <t xml:space="preserve"> C CITY HWY PREC 4(COMM PCT 4)</t>
  </si>
  <si>
    <t>00909 25TH ST(DIAMOND M)</t>
  </si>
  <si>
    <t>00907 25TH ST GRDL(DIAMOND M)</t>
  </si>
  <si>
    <t>1300 26TH ST DEPT POLIC(MAINTENANCE/ANNEX)</t>
  </si>
  <si>
    <t>BIG COUNTRY ELECTRIC COOPERATIVE                           R 3637      S 2748</t>
  </si>
  <si>
    <t>01/25/2017 TO 02/23/2017</t>
  </si>
  <si>
    <t>02/03/2017 TO 03/01/2017</t>
  </si>
  <si>
    <t>02/01/20107 TO 03/01/2017</t>
  </si>
  <si>
    <t>01/02/2017 TO 02/27/2017</t>
  </si>
  <si>
    <t>SCURRY COUNTY 'S UTILITY USAGE FOR FEBURARY 2017</t>
  </si>
  <si>
    <t>12/19/2016 TO 02/17/2017</t>
  </si>
  <si>
    <t>02/10/2017 TO 03/10/2017</t>
  </si>
  <si>
    <t>01/27/2017 TO 02/23/2017</t>
  </si>
  <si>
    <t>SCURRY COUNTY 'S UTILITY USAGE FOR MARCH 2017</t>
  </si>
  <si>
    <t>02/24/2017 TO 03/23/2017</t>
  </si>
  <si>
    <t>02/23/2017 TO 03/23/2017</t>
  </si>
  <si>
    <t>02/28/2017 TO 03/28/2017</t>
  </si>
  <si>
    <t>03/01/2017 TO 03/29/2017</t>
  </si>
  <si>
    <t>02/28/2017 TO 03/29/2017</t>
  </si>
  <si>
    <t>03/01/2017 TO 04/01/2017</t>
  </si>
  <si>
    <t>#10443720008234139</t>
  </si>
  <si>
    <t>#1044370005028615</t>
  </si>
  <si>
    <r>
      <t>400 37TH ST</t>
    </r>
    <r>
      <rPr>
        <sz val="10"/>
        <color rgb="FFFF0000"/>
        <rFont val="Calibri"/>
        <family val="2"/>
      </rPr>
      <t>(SHERIFF46%/JAIL54%</t>
    </r>
    <r>
      <rPr>
        <sz val="10"/>
        <color theme="1"/>
        <rFont val="Calibri"/>
        <family val="2"/>
      </rPr>
      <t>)</t>
    </r>
  </si>
  <si>
    <t>03/02/2017 TO 04/03/2017</t>
  </si>
  <si>
    <t>03/01/2017 TO 04/07/2017</t>
  </si>
  <si>
    <t xml:space="preserve">03/0/2017 TO 04/01/2017 </t>
  </si>
  <si>
    <t>03/10/2017 TO 04/18/2017</t>
  </si>
  <si>
    <t>Park1411 13TH STREET/NORTH</t>
  </si>
  <si>
    <t>02/10/2017 TO 03/13/2017</t>
  </si>
  <si>
    <t>02/06/2017 TO 03/07/2017</t>
  </si>
  <si>
    <t>02/02/2017 TO 03/03/2017</t>
  </si>
  <si>
    <t>02/08/2017 TO 03/09/2017</t>
  </si>
  <si>
    <t>02/01/2017 TO 03/02/2017</t>
  </si>
  <si>
    <t xml:space="preserve">02/09/2017 TO 03/10/2017 </t>
  </si>
  <si>
    <t>02/07/2017 TO 03/08/2017</t>
  </si>
  <si>
    <t>01/07/2017 TO 02/06/2017</t>
  </si>
  <si>
    <t>1101 AVENUE O UNIT RV-1(PARK)</t>
  </si>
  <si>
    <t>1101 AVENUE O (PARK)</t>
  </si>
  <si>
    <t>03/24/2017 TO 04/21/2017</t>
  </si>
  <si>
    <t>03/22/2017 TO 04/2017</t>
  </si>
  <si>
    <t>03/29/2017 TO 04/25/2017</t>
  </si>
  <si>
    <t>04/01/2017 TO 05/01/2017</t>
  </si>
  <si>
    <t>03/30/2017 TO 04/26/2017</t>
  </si>
  <si>
    <t>SCURRY COUNTY 'S UTILITY USAGE FOR APRIL 2017</t>
  </si>
  <si>
    <t>04/04/2017 TO 05/01/2017</t>
  </si>
  <si>
    <t>04/07/2017 TI 05/02/2017</t>
  </si>
  <si>
    <t>04/10/2017 TO 05/10/2017</t>
  </si>
  <si>
    <t>02/17/2017 TO 04/18/2017</t>
  </si>
  <si>
    <t>04/22/2017 TO 05/24/2017</t>
  </si>
  <si>
    <t>04/21/2017 TO 05/23/2017</t>
  </si>
  <si>
    <t>04/26/2017 TO 05/26/2017</t>
  </si>
  <si>
    <t>04/27/2017 TO 05/30/2017</t>
  </si>
  <si>
    <t>05/02/2017 TO 06/02/2017</t>
  </si>
  <si>
    <t xml:space="preserve">05/01/2017 TO 06/01/2017 </t>
  </si>
  <si>
    <t>03/13/2017 TO 04/12/2017</t>
  </si>
  <si>
    <t>03/07/2017 TO 04/06/2017</t>
  </si>
  <si>
    <t>03/03/2017 TO 04/04/2017</t>
  </si>
  <si>
    <t>03/09/2017 TO 04/10/2017</t>
  </si>
  <si>
    <t>03/10/2017 TO 04/11/2017</t>
  </si>
  <si>
    <t>03/03//2017 TO 04/04/2017</t>
  </si>
  <si>
    <t>03/08/2017 TO 04/07/2017</t>
  </si>
  <si>
    <t>C CITY HWY PREC 4 GRDL(COMM PCT 4)</t>
  </si>
  <si>
    <t>1101 AVE O UNIT RV-1(PARK)</t>
  </si>
  <si>
    <t>1101 AVE O (PARK)</t>
  </si>
  <si>
    <t>SCURRY COUNTY 'S UTILITY USAGE FOR MAY 2017</t>
  </si>
  <si>
    <t>05/10/2017 TO 06/10/2017</t>
  </si>
  <si>
    <t>05/24/2017 TO 06/21/2017</t>
  </si>
  <si>
    <t>04/12/2017-05/12/2017</t>
  </si>
  <si>
    <t>04/12/2017 TO 05/12/2017</t>
  </si>
  <si>
    <t>04/04/2017 TO 05/04/2017</t>
  </si>
  <si>
    <t>04/11/2017 TO 05/11/2017</t>
  </si>
  <si>
    <t>04/07/2017 TO 05/09/2017</t>
  </si>
  <si>
    <t>04/03/2017 TO 05/03/2017</t>
  </si>
  <si>
    <t>04/12/2017  TO 05/12/2017</t>
  </si>
  <si>
    <t>04/06/2017 TO 05/08/2017</t>
  </si>
  <si>
    <t>05/25/2017 TO 06/22/2017</t>
  </si>
  <si>
    <t>05/31/2017 TO 06/27/2017</t>
  </si>
  <si>
    <t>05/26/2017 TO 06/26/2017</t>
  </si>
  <si>
    <t>05/27/2017 TO 06/26/2017</t>
  </si>
  <si>
    <t>COMM  Prec 4 Water Well</t>
  </si>
  <si>
    <t>06/01/2017 TO 07/01/2017</t>
  </si>
  <si>
    <t>COMM PRES 2-WW-Barn-Lite</t>
  </si>
  <si>
    <t>COMM PCT 1 Equipment Shed</t>
  </si>
  <si>
    <t>07/05/2017 TO 07/05/2017</t>
  </si>
  <si>
    <t>SCURRY COUNTY 'S UTILITY USAGE FOR JUNE 2017</t>
  </si>
  <si>
    <t>Annex 1300 26th St/MAINTENANCE</t>
  </si>
  <si>
    <t>06/02/2017 TO 07/03/2017</t>
  </si>
  <si>
    <t>06/10/2017 TO 07/10/2017</t>
  </si>
  <si>
    <t>04/18/2017 TO 06/17/2017</t>
  </si>
  <si>
    <t>L</t>
  </si>
  <si>
    <t>06/22/2017 TO 07/24/2017</t>
  </si>
  <si>
    <t>06/10/201 TO 07/10/2017</t>
  </si>
  <si>
    <t>06/27/2017 TO 07/26/2017</t>
  </si>
  <si>
    <t>07/01/2017 TO 08/01/2017</t>
  </si>
  <si>
    <t>06/26/2017 TO 07/31/2017</t>
  </si>
  <si>
    <t>06/28/2017 TO 07/27/2017</t>
  </si>
  <si>
    <t>SCURRY COUNTY 'S UTILITY USAGE FOR JULY 2017</t>
  </si>
  <si>
    <t>05/12/2017 TO 06/13/2017</t>
  </si>
  <si>
    <t>05/04/2017 TO 06/05/2017</t>
  </si>
  <si>
    <t>05/10/2017 TO 06/09/2017</t>
  </si>
  <si>
    <t>05/11/2017 TO 06/12/2017</t>
  </si>
  <si>
    <t>05/03/2017 TO 06/02/2017</t>
  </si>
  <si>
    <t>2605 AVE M (SENIOR CENTER)</t>
  </si>
  <si>
    <t>05/09/2017 TO 06/08/2017</t>
  </si>
  <si>
    <t>05/08/2017 TO 06/07/2017</t>
  </si>
  <si>
    <t xml:space="preserve">07/04/2017 TO 08/01/2017 </t>
  </si>
  <si>
    <t>2315 ROUND ROCK AVE YDMTR</t>
  </si>
  <si>
    <t>10-0525-00</t>
  </si>
  <si>
    <t>07/19/2017 TO 08/01/2017</t>
  </si>
  <si>
    <t>Scurry County Airport  2315 ROUND ROCK AVE YDMTR OPEN JULY 19TH,NEW HGNR</t>
  </si>
  <si>
    <t>07/10/2017 TO 08/10/2017</t>
  </si>
  <si>
    <t>07/26/2017 TO 8/22/2017</t>
  </si>
  <si>
    <t>07/26/2017 TO 08/22/2017</t>
  </si>
  <si>
    <t>06/23/2017 TO 07/25/2017</t>
  </si>
  <si>
    <t>07/25/2017 TO 08/21/2017</t>
  </si>
  <si>
    <t>07/28/2017 TO 08/24/2017</t>
  </si>
  <si>
    <t>07/27/2017 TO 08/24/2017</t>
  </si>
  <si>
    <t>08/01/2017 TO 09/02/2017</t>
  </si>
  <si>
    <t>01-1660-03</t>
  </si>
  <si>
    <t>08/22/2017 TO 09/01/2017</t>
  </si>
  <si>
    <t>AIRPORT/FIRE HYDRANT OPEN AUG 22ND</t>
  </si>
  <si>
    <t>08/02/2017 TO 09/05/2017</t>
  </si>
  <si>
    <t>07/14/2017 TO 08/14/2017</t>
  </si>
  <si>
    <t>07/06/2017 TO 08/04/2017</t>
  </si>
  <si>
    <t>07/12/2017 TO 08/10/2017</t>
  </si>
  <si>
    <t>07/05/2017 TO 08/03/2017</t>
  </si>
  <si>
    <t xml:space="preserve">07/13/2017 TO 08/11/2017 </t>
  </si>
  <si>
    <t>07/11/2017 TO 08/09/2017</t>
  </si>
  <si>
    <t>07/18/2017 TO 08/03/2017</t>
  </si>
  <si>
    <t>SCURRY COUNTY 'S UTILITY USAGE FOR AUGUST 2017</t>
  </si>
  <si>
    <t>08/10/2017 TO 09/10/2017</t>
  </si>
  <si>
    <t>Park 1411 13TH ST</t>
  </si>
  <si>
    <t>06/17/2017 TO 08/16/2017</t>
  </si>
  <si>
    <t>08/14/2017 TO 09/14/2017</t>
  </si>
  <si>
    <t>USAGE</t>
  </si>
  <si>
    <t>ELECTRIC$$</t>
  </si>
  <si>
    <t>GAS$$</t>
  </si>
  <si>
    <t>WATER$$</t>
  </si>
  <si>
    <t>08/23/2017 TO 09/22/2017</t>
  </si>
  <si>
    <t>08/26/2017 TO 09/27/2017</t>
  </si>
  <si>
    <t>08/25/2017 TO 09/28/2017</t>
  </si>
  <si>
    <t>08/22/2017 TO 09/25/2017</t>
  </si>
  <si>
    <t>8/26/2017 TO 09/27/2017</t>
  </si>
  <si>
    <t>08/30/2017 TO 09/29/2017</t>
  </si>
  <si>
    <t>09/06/2017 TO 10/02/2017</t>
  </si>
  <si>
    <t>09/02/2017 TO 10/02/2017</t>
  </si>
  <si>
    <t>09/01/2017 TO 10/01/2017</t>
  </si>
  <si>
    <t>10/03/2017 TO 10/03/2017</t>
  </si>
  <si>
    <t>SCURRY COUNTY 'S UTILITY USAGE FOR SEPTEMBER 2017</t>
  </si>
  <si>
    <t>09/08/2017 TO 10/09/2017</t>
  </si>
  <si>
    <t>09/10/2017 TO 10/10/2017</t>
  </si>
  <si>
    <t>09/12/2017 TO 10/11/2017</t>
  </si>
  <si>
    <t>09/12/2017 TO 10/12/2017</t>
  </si>
  <si>
    <t>09/13/2017 TO 10/12/2017</t>
  </si>
  <si>
    <t>400 37TH ST(SHERIFF46%/JAIL54%)</t>
  </si>
  <si>
    <t>09/14/2017 TO 10/13/2017</t>
  </si>
  <si>
    <t>09/26/2017 TO 10/20/2017</t>
  </si>
  <si>
    <t>09/29/2017 TO 10/25/2017</t>
  </si>
  <si>
    <t>09/23/2017 TO 10/24/2017</t>
  </si>
  <si>
    <t>09/28/2017 TO 10/27/2017</t>
  </si>
  <si>
    <t>10/01/2017 TO 11/01/2017</t>
  </si>
  <si>
    <t>09/29/2017 TO 10/31/2017</t>
  </si>
  <si>
    <t>SCURRY COUNTY 'S UTILITY USAGE FOR OCTOER 2017</t>
  </si>
  <si>
    <t>10/03/2017 TO 11/01/2017</t>
  </si>
  <si>
    <t>10/02/2017 TO 11/01/2017</t>
  </si>
  <si>
    <t>10/05/2017 TO 11/02/2017</t>
  </si>
  <si>
    <t>10/09/2017 TO 11/06/2017</t>
  </si>
  <si>
    <t>10/04/2017 TO 11/01/2017</t>
  </si>
  <si>
    <t>08/16/2017 TO 10/15/2017</t>
  </si>
  <si>
    <t>10/10/2017 TO 11/10/2017</t>
  </si>
  <si>
    <t>10/13/2017 TO 11/10/2017</t>
  </si>
  <si>
    <t>DATE OF SERVICE</t>
  </si>
  <si>
    <t>GAS</t>
  </si>
  <si>
    <t>WATER</t>
  </si>
  <si>
    <t>ELECTRIC</t>
  </si>
  <si>
    <t>10/11/2017 TO 11/08/2017</t>
  </si>
  <si>
    <t>10/12/2017 TO 11/09/2017</t>
  </si>
  <si>
    <t>10/25/2017 TO 11/21/2017</t>
  </si>
  <si>
    <t>10/26/2017 TO 11/27/2017</t>
  </si>
  <si>
    <t>10/21/2017 TO 11/22/2017</t>
  </si>
  <si>
    <t>10/27/2017 TO 11/28/2017</t>
  </si>
  <si>
    <t>10/24/2017 TO 11/21/2017</t>
  </si>
  <si>
    <t>SCURRY COUNTY 'S UTILITY USAGE FOR NOVEMBER 2017</t>
  </si>
  <si>
    <t>10/31/2017 TO 11/30/2017</t>
  </si>
  <si>
    <t>10/28/2017 TO 11/29/217</t>
  </si>
  <si>
    <t>11/01/2017 TO 12/01/2017</t>
  </si>
  <si>
    <t>11/02/2017 TO 12/04/2017</t>
  </si>
  <si>
    <t>175..00</t>
  </si>
  <si>
    <t>11/06/2017 TO 12/06/2017</t>
  </si>
  <si>
    <t>11/07/2017 TO 12/07/2017</t>
  </si>
  <si>
    <t>11/08/2017 TO 12/08/2017</t>
  </si>
  <si>
    <t>11/10/2017 TO 12/12/2017</t>
  </si>
  <si>
    <t>BOYS &amp; GIRLS CLUB</t>
  </si>
  <si>
    <t>11/10/207 TO 12/10/2017</t>
  </si>
  <si>
    <t>11/10/2017 TO 12/10/2017</t>
  </si>
  <si>
    <t>11/23/2017 TO 12/20/2017</t>
  </si>
  <si>
    <t>11/28/2017 TO 12/22/2017</t>
  </si>
  <si>
    <t>11/29/2017 TO 12/28/2017</t>
  </si>
  <si>
    <t>11/22/2017 TO 12/20/2017</t>
  </si>
  <si>
    <t>11/30/2017 TO 12/29/2017</t>
  </si>
  <si>
    <t>12/01/2017 TO 01/01/2018</t>
  </si>
  <si>
    <t>Child Welfare 2511 College Ave</t>
  </si>
  <si>
    <t>EMS 3902 COLELGE AVE</t>
  </si>
  <si>
    <t>PROBATION 2511 COLLEGE AVE</t>
  </si>
  <si>
    <t>12/02/2017 TO 01/02/2018</t>
  </si>
  <si>
    <t xml:space="preserve">12/01/2017 TO 01/01/2018 </t>
  </si>
  <si>
    <t>12/04/2017 TO 01/02/2018</t>
  </si>
  <si>
    <t>12/04/2017  TO 01/05/2018</t>
  </si>
  <si>
    <t>12/02/2017 TO 01/04/2018</t>
  </si>
  <si>
    <t>CRDT ON ACCNT</t>
  </si>
  <si>
    <t>12/07/2017 TO 01/09/2018</t>
  </si>
  <si>
    <t>12/06/2017 TO 01/08/2018</t>
  </si>
  <si>
    <t>S COURTHOUSE LAWN</t>
  </si>
  <si>
    <t>12/10/2017 TO 01/10/2018</t>
  </si>
  <si>
    <t>N COUNTY COURT HOUSE</t>
  </si>
  <si>
    <t>1411 13TH STREET/NORTH</t>
  </si>
  <si>
    <t>1207 AVE M/NORTH PARK</t>
  </si>
  <si>
    <t>SHERIFF 400 37TH ST YDMTR</t>
  </si>
  <si>
    <t>PARK WINSTON PARK 1210 37TH ST</t>
  </si>
  <si>
    <t>BOYS &amp; GIRLS CLUB 1500 28TH ST YD MT</t>
  </si>
  <si>
    <t>12/12/2017 TO 01/12/2018</t>
  </si>
  <si>
    <t>12/11/2017 TO 01/11/2018</t>
  </si>
  <si>
    <t>SCURRY COUNTY 'S UTILITY USAGE FOR DECEMBER 2017</t>
  </si>
  <si>
    <t>12/08/2017 TO 01/10/2018</t>
  </si>
  <si>
    <t>10/15/2017 TO 12/14/2017</t>
  </si>
  <si>
    <t>12/29/2017 TO 01/25/2018</t>
  </si>
  <si>
    <t>12/02/2017 TO 01/24/2018</t>
  </si>
  <si>
    <t>12/21/2017 TO 01/24/2018</t>
  </si>
  <si>
    <t>12/23/2017 TO 01/26/2018</t>
  </si>
  <si>
    <t>793.03`</t>
  </si>
  <si>
    <t>12/30/2017 TO 01/29/2018</t>
  </si>
  <si>
    <t>12/27/2017 TO 01/29/2018</t>
  </si>
  <si>
    <t>01/01/2018 TO 02/01/2018</t>
  </si>
  <si>
    <t>01/02/2018 TO 02/02/2018</t>
  </si>
  <si>
    <t>SCURRY COUNTY 'S UTILITY USAGE FOR JANUARY 2018</t>
  </si>
  <si>
    <t>01/05/2018 TO 02/02/2018</t>
  </si>
  <si>
    <t>01/04/2018 TO 02/01/2018</t>
  </si>
  <si>
    <t>01/08/2018 TO 02/06/2018</t>
  </si>
  <si>
    <t>01/09/2018 TO 02/07/2018</t>
  </si>
  <si>
    <t>01/10/2018 TO 02/10/2018</t>
  </si>
  <si>
    <t>01/10/2018 TO 02/08/2018</t>
  </si>
  <si>
    <t>01/12/2018 TO 02/12/2018</t>
  </si>
  <si>
    <t>01/10/2018 TO 02/12/2018</t>
  </si>
  <si>
    <t>01/11/2018 TO 02/09/2018</t>
  </si>
  <si>
    <t>01/10/2016 TO 02/06/2018</t>
  </si>
  <si>
    <t>01/10/2018 TO 02/09/2018</t>
  </si>
  <si>
    <t>01/24/2018 TO 02/22/2018</t>
  </si>
  <si>
    <t>01/25/2018 TO 02/20/2018</t>
  </si>
  <si>
    <t>01/27/2018 TO 02/26/2018</t>
  </si>
  <si>
    <t>01/26/2018 TO 02/27/2018</t>
  </si>
  <si>
    <t>02/01/2018 TO 02/28/2018</t>
  </si>
  <si>
    <t>01/30/2018 TO 02/28/2018</t>
  </si>
  <si>
    <t>1806 25TH ST GRDL 5(MAINTENANCE)</t>
  </si>
  <si>
    <t>SCURRY COUNTY 'S UTILITY USAGE FOR FEBRUARY 2018</t>
  </si>
  <si>
    <t>02/02/2018 TO</t>
  </si>
  <si>
    <t>02/02/2018 TO 03/05/2018</t>
  </si>
  <si>
    <t>02/01/2018 TO 03/01/2018</t>
  </si>
  <si>
    <t>02/08/2018 TO 03/09/2018</t>
  </si>
  <si>
    <t>02/07/2018 TO 03/08/2018</t>
  </si>
  <si>
    <t>02/06/2018 TO 03/07/2018</t>
  </si>
  <si>
    <t>02/09/2018 TO 03/12/2018</t>
  </si>
  <si>
    <t>02/12/2018 TO 03/13/2018</t>
  </si>
  <si>
    <t>02/10/2018 TO 03/10/2018</t>
  </si>
  <si>
    <t>FLUVANNA COMMUNITY CENTER</t>
  </si>
  <si>
    <t>DATE</t>
  </si>
  <si>
    <t>02/24/2018 TO 03/22/2018</t>
  </si>
  <si>
    <t>02/21/2018 TO 03/21/2018</t>
  </si>
  <si>
    <t>02/23/2018 TO 03/22/2018</t>
  </si>
  <si>
    <t>02/27/2018 TO 03/26/2018</t>
  </si>
  <si>
    <t>02/28/2018 TO 03/26/2018</t>
  </si>
  <si>
    <t>03/01/2018 TO 03/28/2018</t>
  </si>
  <si>
    <t>04/03/2018 TO 04/03/2018</t>
  </si>
  <si>
    <t>SCURRY COUNTY 'S UTILITY USAGE FOR MARCH 2018</t>
  </si>
  <si>
    <t>03/02/2018 TO 04/02/2018</t>
  </si>
  <si>
    <t>03/01/2018 TO 04/01/2018</t>
  </si>
  <si>
    <t>03/01/2018 TO 04/02/2018</t>
  </si>
  <si>
    <t>1806 25TH SDT GRDL 5</t>
  </si>
  <si>
    <t>03/07/2018 TO 04/06/2018</t>
  </si>
  <si>
    <t>03/05/2018 TO 04/04/2018</t>
  </si>
  <si>
    <t>AIRPORT</t>
  </si>
  <si>
    <t>03/09/2018 TO 04/10/2018</t>
  </si>
  <si>
    <t>03/08/2018 TO 04/09/2018</t>
  </si>
  <si>
    <t>03/10/2018 TO 04/18/2018</t>
  </si>
  <si>
    <t>03/24/2018 TO 04/23/2018</t>
  </si>
  <si>
    <t>03/24/2018  TO 04/23/2018</t>
  </si>
  <si>
    <t>03/23/2018 TO 04/23/2018</t>
  </si>
  <si>
    <t>03/27/2018 TO 04/25/2018</t>
  </si>
  <si>
    <t>03/29/2018 TO 04/26/2018</t>
  </si>
  <si>
    <t>04/03/2018 TO 05/01/2018</t>
  </si>
  <si>
    <t>05/02/2018 TO 05/02/2018</t>
  </si>
  <si>
    <t>04/01/2018 TO 05/01/2018</t>
  </si>
  <si>
    <t>04/02/2018 TO 05/01/2018</t>
  </si>
  <si>
    <t>04/04/2018 TO 05/03/2018</t>
  </si>
  <si>
    <t>1806 25TH ST GRDL 5</t>
  </si>
  <si>
    <t>04/12/2018 TO 05/11/2018</t>
  </si>
  <si>
    <t>04/10/2018 to 05/09/2018</t>
  </si>
  <si>
    <t>04/11/2018 TO 05/10/2018</t>
  </si>
  <si>
    <t>02/12/2018 TO 04/13/2018</t>
  </si>
  <si>
    <t>04/24/2018 TO 05/22/2018</t>
  </si>
  <si>
    <t>04/21/2018 TO 05/21/2018</t>
  </si>
  <si>
    <t>04/26/2018 TO 05/25/2018</t>
  </si>
  <si>
    <t>04/27/2018 TO 05/25/2018</t>
  </si>
  <si>
    <t>04/26/2018 TO 05/24/2018</t>
  </si>
  <si>
    <t>05/01/2018 TO 06/01/2018</t>
  </si>
  <si>
    <t xml:space="preserve">05/02/2018 TO 06/01/2018 </t>
  </si>
  <si>
    <t>05/03/2018 TO 06/04/2018</t>
  </si>
  <si>
    <t>05/08/2018 TO 06/04/2018</t>
  </si>
  <si>
    <t>05/04/2018 TO 06/06/2018</t>
  </si>
  <si>
    <t>05/09/2018 TO 06/08/2018</t>
  </si>
  <si>
    <t>SCURRY COUNTY 'S UTILITY USAGE FOR APRIL 2018</t>
  </si>
  <si>
    <t>SCURRY COUNTY 'S UTILITY USAGE FOR MAY 2018</t>
  </si>
  <si>
    <t>05/07/2018 TO 06/06/2018</t>
  </si>
  <si>
    <t>05/10/2018 TO 06/11/2018</t>
  </si>
  <si>
    <t>05/11/2018 TO 06/12/2018</t>
  </si>
  <si>
    <t>2511 COLLEGE AVE/PROBATION</t>
  </si>
  <si>
    <t>05/22/2018 TO 06/21/2018</t>
  </si>
  <si>
    <t>05/23/2018 TO 06/22/2018</t>
  </si>
  <si>
    <t>05/26/2018 TO 06/26/2018</t>
  </si>
  <si>
    <t>05/25/2018 TO 06/26/2018</t>
  </si>
  <si>
    <t>06/01/2018 TO 07/01/2018</t>
  </si>
  <si>
    <t>06/01/2018 TO 06/30/2018</t>
  </si>
  <si>
    <t>06/02/2018 TO 07/02/2018</t>
  </si>
  <si>
    <t>05/29/2018 TO 06/30/2018</t>
  </si>
  <si>
    <t>8.00.N</t>
  </si>
  <si>
    <t>06/04/2018 TO 07/03/2018</t>
  </si>
  <si>
    <t>SCURRY COUNTY 'S UTILITY USAGE FOR JUNE 2018</t>
  </si>
  <si>
    <t>06/10/2018 TO 07/18/2018</t>
  </si>
  <si>
    <t>06/12/2018 TO 07/13/2018</t>
  </si>
  <si>
    <t>06/11/2018 TO 07/12/2018</t>
  </si>
  <si>
    <t>06/08/2018 TO 07/11/2018</t>
  </si>
  <si>
    <t>06/27/2018 TO 07/27/2018</t>
  </si>
  <si>
    <t>06/22/2018 TO 07/23/2018</t>
  </si>
  <si>
    <t>06/23/2018 TO 07/25/2018</t>
  </si>
  <si>
    <t>06/28/2018 TO 07/30/2018</t>
  </si>
  <si>
    <t>07/01/2018 TO 08/01/2018</t>
  </si>
  <si>
    <t>06/30/2018 TO 07/31/2018</t>
  </si>
  <si>
    <t>06/30/2018 TO 08/01/2018</t>
  </si>
  <si>
    <t>SCURRY COUNTY 'S UTILITY USAGE FOR JULY 2018</t>
  </si>
  <si>
    <t>07/03/2018 TO 08/01/2018</t>
  </si>
  <si>
    <t>07/03/2018 TO 08/03/2018</t>
  </si>
  <si>
    <t>07/02/2018 TO 08/02/2018</t>
  </si>
  <si>
    <t>07/03/2018 TO 08/02/2018</t>
  </si>
  <si>
    <t>07/10/2018 TO 08/10/2018</t>
  </si>
  <si>
    <t>07/13/2018 TO 08/14/2018</t>
  </si>
  <si>
    <t>07/20/2018 TO 08/02/2018</t>
  </si>
  <si>
    <t>07/09/2018 TO 07/08/2018</t>
  </si>
  <si>
    <t>07/11/2018 TO 08/10/2018</t>
  </si>
  <si>
    <t>07/24/2018 TO 08/21/2018</t>
  </si>
  <si>
    <t>07/26/2018 TO 08/22/2018</t>
  </si>
  <si>
    <t>07/25/2018 TO 08/22/2018</t>
  </si>
  <si>
    <t>07/28/2018 TO 08/24/2018</t>
  </si>
  <si>
    <t>07/31/2018 TO 08/27/2018</t>
  </si>
  <si>
    <t>07/27/2018 TO 08/24/2018</t>
  </si>
  <si>
    <t>YOUTH CENTER 1500 28th St</t>
  </si>
  <si>
    <t>08/01/2018 TO 09/01/2018</t>
  </si>
  <si>
    <t>08/02/2018 TO 09/04/20180</t>
  </si>
  <si>
    <t>08/01/2018  TO 09/01/2018</t>
  </si>
  <si>
    <t>08/08/2018 TO 09/07/2018</t>
  </si>
  <si>
    <t>08/03/2018 TO 09/05/2018</t>
  </si>
  <si>
    <t>08/10/2018 TO 09/10/2018</t>
  </si>
  <si>
    <t>SCURRY COUNTY 'S UTILITY USAGE FOR AUGUST 2018</t>
  </si>
  <si>
    <t>08/14/2018 TO  09/13/2018</t>
  </si>
  <si>
    <t>06/12/2018 TO 08/11/2018</t>
  </si>
  <si>
    <t>08/22/2018 TO 09/21/2018</t>
  </si>
  <si>
    <t>08/23/2018 TO 09/24/2018</t>
  </si>
  <si>
    <t>08/25/2018 TO 09/25/2018</t>
  </si>
  <si>
    <t>08/28/2018 TO 09/28/2018</t>
  </si>
  <si>
    <t>1500 28TH ST GRDL(YOUTH CENTER)</t>
  </si>
  <si>
    <t>09/05/2018 TO 10/01/2018</t>
  </si>
  <si>
    <t>08/31/2018 TO 09/30/2018</t>
  </si>
  <si>
    <t>09/01/2018 TO 10/01/2018</t>
  </si>
  <si>
    <t>10/02/2018 TO 10/02/2018</t>
  </si>
  <si>
    <t>08/31/2018 TO10/01/2018</t>
  </si>
  <si>
    <t>09/15/2018 TO 10/04/2018</t>
  </si>
  <si>
    <t>09/08/2018 TO 10/03/2018</t>
  </si>
  <si>
    <t>09/07/2018 TO 10/08/2018</t>
  </si>
  <si>
    <t>09/10/2018 TO 10/09/2018</t>
  </si>
  <si>
    <t>09/05/2018 TO 10/04/2018</t>
  </si>
  <si>
    <t>09/04/2018 TO 10/03/2018</t>
  </si>
  <si>
    <t>SCURRY COUNTY 'S UTILITY USAGE FOR SETPEMBER 2018</t>
  </si>
  <si>
    <t>09/25/2018 TO 10/24/2018</t>
  </si>
  <si>
    <t>09/26/2018 TO 10/24/2018</t>
  </si>
  <si>
    <t>09/28/2018 TO 10/25/2018</t>
  </si>
  <si>
    <t>09/22/2018 TO 10/24/2018</t>
  </si>
  <si>
    <t>09/29/2018 TO 10/26/2018</t>
  </si>
  <si>
    <t>11/02/2018 TO 11/02/2018</t>
  </si>
  <si>
    <t>10/01/2018 TO 11/01/2018</t>
  </si>
  <si>
    <t>.36.00</t>
  </si>
  <si>
    <t>09/30/2018 TO 10/30/2018</t>
  </si>
  <si>
    <t>SCURRY COUNTY 'S UTILITY USAGE FOR OCTOBER 2018</t>
  </si>
  <si>
    <t>10/02/2018 TO 11/01/2018</t>
  </si>
  <si>
    <t>10/04/2018 TO 11/02/2018</t>
  </si>
  <si>
    <t>10/03/2018 TO 11/01/2018</t>
  </si>
  <si>
    <t>10/08/2018 TO 11/06/2018</t>
  </si>
  <si>
    <t>10/09/2018 TO 11/07/2018</t>
  </si>
  <si>
    <t>10/10/2018 TO 11/08/2018</t>
  </si>
  <si>
    <t>10/12/2018 TO 11/10/2018</t>
  </si>
  <si>
    <t>08/11/2018 TO 10/10/2018</t>
  </si>
  <si>
    <t>AD</t>
  </si>
  <si>
    <t>10/20/2018 TO 11/20/2018</t>
  </si>
  <si>
    <t>10/25/2018 TO 11/26/2018</t>
  </si>
  <si>
    <t>SCURRY COUNTY 'S UTILITY USAGE FOR NOVEMBER 2018</t>
  </si>
  <si>
    <t>10/26/2018 TO 11/28/2018</t>
  </si>
  <si>
    <t>10/27/2018 TO 11/29/2018</t>
  </si>
  <si>
    <t>11/01/2018 TO 11/30/2018</t>
  </si>
  <si>
    <t>22.44-</t>
  </si>
  <si>
    <t>11/01/2018 TO 12/01/2018</t>
  </si>
  <si>
    <t>11/02/2018 TO 12/03/2018</t>
  </si>
  <si>
    <t xml:space="preserve">200.010/30/2018 TO </t>
  </si>
  <si>
    <t>10/30/2018 TO 11/30/2018</t>
  </si>
  <si>
    <t>11/01/2018 TO 12/03/2018</t>
  </si>
  <si>
    <t>11/06/2018 TO 12/06/2018</t>
  </si>
  <si>
    <t>11/07/2018 TO 12/07/2018</t>
  </si>
  <si>
    <t>11/08/2018 TO 12/10/2018</t>
  </si>
  <si>
    <t>11/09/2018 TO 12/11/2018</t>
  </si>
  <si>
    <t>11/27/2018 TO 12/21/2018</t>
  </si>
  <si>
    <t>11/12/2018 TO 12/12/2018</t>
  </si>
  <si>
    <t>11/28/2018 TO 12/27/2018</t>
  </si>
  <si>
    <t>11/30/2018 to 01/01/2019</t>
  </si>
  <si>
    <t>11/10/2018 TO 12/10/2018</t>
  </si>
  <si>
    <t>11/29/2018 TO 12/27/2018</t>
  </si>
  <si>
    <t>11/30/2018 TO12/27/2018</t>
  </si>
  <si>
    <t>12/01/2018 to 01/01/2019</t>
  </si>
  <si>
    <t>SCURRY COUNTY 'S UTILITY USAGE FOR DECEMBER 2018</t>
  </si>
  <si>
    <t>12/06/2018 to 01/07/2019</t>
  </si>
  <si>
    <t>12/10/2018 to 01/08/2019</t>
  </si>
  <si>
    <t>12/07/2018 TO 01/08/2019</t>
  </si>
  <si>
    <t>12/04/2018 TO 01/04/2019</t>
  </si>
  <si>
    <t>12/03/2018 TO 01/03/2019</t>
  </si>
  <si>
    <t>12/10/2019 TO 01/09/2019</t>
  </si>
  <si>
    <t>12/12/2018 TO 01/11/2019</t>
  </si>
  <si>
    <t>12/11/2018 TO 01/10/2019</t>
  </si>
  <si>
    <t>12/22/2018 TO 01/23/2019</t>
  </si>
  <si>
    <t>12/28/2018 TO 01/25/2019</t>
  </si>
  <si>
    <t>12/21/2018 TO 01/22/2019</t>
  </si>
  <si>
    <t>12/28/2019 TO 01/25/2019</t>
  </si>
  <si>
    <t>SCURRY COUNTY 'S UTILITY USAGE FOR JANUARY 2019</t>
  </si>
  <si>
    <t>12/29/2019 TO 01/28/2019</t>
  </si>
  <si>
    <t>SCURRY COUNTY YOUTH CENTER 1500 28th St</t>
  </si>
  <si>
    <t>12/29/2018 TO 01/28/2019</t>
  </si>
  <si>
    <t>01/01/2019 TO 02/01/2019</t>
  </si>
  <si>
    <t>12/02/2018 TO 01/31/2019</t>
  </si>
  <si>
    <t>01/03/2019 TO 02/01/2019</t>
  </si>
  <si>
    <t>01/03/2018 TO 02/01/2019</t>
  </si>
  <si>
    <t>01/04/2019 TO 02/04/2019</t>
  </si>
  <si>
    <t>01/07/2019 TO 02/06/2019</t>
  </si>
  <si>
    <t>01/09/2019 TO 02/08/2019</t>
  </si>
  <si>
    <t>01/08/2019 TO 02/08/2019</t>
  </si>
  <si>
    <t>01/01/2019  TO 02/01/2019</t>
  </si>
  <si>
    <t>01/10/2019 TO 02/10/2019</t>
  </si>
  <si>
    <t>01/26/2019 TO 02/21/2019</t>
  </si>
  <si>
    <t>01/11/2019 TO 02/12/2019</t>
  </si>
  <si>
    <t>01/24/2019 TO 02/21/2019</t>
  </si>
  <si>
    <t>01/23/2019 TO 02/20/2019</t>
  </si>
  <si>
    <t>01/29/2019 TO 02/28/2019</t>
  </si>
  <si>
    <t>02/01/2019 TO 03/01/2019</t>
  </si>
  <si>
    <t xml:space="preserve">NON DEPARTMENTAL Fluv Com Prec #2 </t>
  </si>
  <si>
    <t xml:space="preserve">Parks </t>
  </si>
  <si>
    <t xml:space="preserve"> Fluv Com Prec #2 </t>
  </si>
  <si>
    <t xml:space="preserve">Fluv Com Prec #2 </t>
  </si>
  <si>
    <t>SCURRY COUNTY 'S UTILITY USAGE FOR FEBRUARY 2019</t>
  </si>
  <si>
    <t>01/31/2019 TO 02/28/2019</t>
  </si>
  <si>
    <t>02/04/2019 TO 03/01/2019</t>
  </si>
  <si>
    <t>95 2ND LOAD</t>
  </si>
  <si>
    <t>01/30/2019 TO 02/25/2019</t>
  </si>
  <si>
    <t>02/06/2019 TO 03/07/2019</t>
  </si>
  <si>
    <t>02/07/2019 TO 03/08/2109</t>
  </si>
  <si>
    <t>02/08/2019 TO 03/11/2019</t>
  </si>
  <si>
    <t xml:space="preserve"> COURT HOUSE(MAINTENANCE)</t>
  </si>
  <si>
    <t>02/12/2019 TO 03/12/2019</t>
  </si>
  <si>
    <t>02/11/2019 TO 03/12/2109</t>
  </si>
  <si>
    <t>02/21/2019 TO 03/21/2019</t>
  </si>
  <si>
    <t>02/10/2019 TO 03/10/2019</t>
  </si>
  <si>
    <t>01/2019 TO 03/2019</t>
  </si>
  <si>
    <t>02/22/2019 TO 03/22/2019</t>
  </si>
  <si>
    <t>03/01/2019 TO 03/28/2019</t>
  </si>
  <si>
    <t>02/26/2019 TO 03/27/2019</t>
  </si>
  <si>
    <t>02/28/2019 TO 03/29/2019</t>
  </si>
  <si>
    <t>03/01/2019 TO 04/01/2019</t>
  </si>
  <si>
    <t>03/02/2019 TO 04/01/2019</t>
  </si>
  <si>
    <t>SCURRY COUNTY 'S UTILITY USAGE FOR MARCH 2019</t>
  </si>
  <si>
    <t>1806 25TH ST STE 205 GRDL 5 (MAINTENANCE</t>
  </si>
  <si>
    <t>03/04/2019 TO 04/02/2019</t>
  </si>
  <si>
    <t>03/05/2019 TO 04/03/2019</t>
  </si>
  <si>
    <t>03/07/2019 TO 04/05/2019</t>
  </si>
  <si>
    <t>03/11/2019 TO 04/09/2019</t>
  </si>
  <si>
    <t>03/08/2019 TO 04/08/2019</t>
  </si>
  <si>
    <t>03/13/2019 TO 04/11/2019</t>
  </si>
  <si>
    <t>03/10/2019 TO 04/18/2019</t>
  </si>
  <si>
    <t>03/22/2019 TO 04/22/2019</t>
  </si>
  <si>
    <t>03/27/2019 TO 04/25/2019</t>
  </si>
  <si>
    <t>02/27/2019 TO 04/25/2019</t>
  </si>
  <si>
    <t>03/23/2019 TO 04/24/2019</t>
  </si>
  <si>
    <t>03/28/2019 TO 04/29/2019</t>
  </si>
  <si>
    <t>03/29/2019 TO 04/30/2019</t>
  </si>
  <si>
    <t>04/01/2019 TO 05/01/2019</t>
  </si>
  <si>
    <t>15.96-</t>
  </si>
  <si>
    <t>SCURRY COUNTY 'S UTILITY USAGE FOR APRIL 2019</t>
  </si>
  <si>
    <t>03/29/2019 TO 04/29/2019</t>
  </si>
  <si>
    <t>04/02/2019 TO 05/01/209</t>
  </si>
  <si>
    <t>04/03/2019 TO 05/03/2019</t>
  </si>
  <si>
    <t>04/05/2019 TO 05/07/2019</t>
  </si>
  <si>
    <t>04/08/2019 TO 05/08/2019</t>
  </si>
  <si>
    <t>04/09/2019 TO 05/09/2019</t>
  </si>
  <si>
    <t>04/10/2019 TO 05/10/2019</t>
  </si>
  <si>
    <t>04/11/2019 TO 05/13/2019</t>
  </si>
  <si>
    <t>02/25/2019 TO 04/25/2019</t>
  </si>
  <si>
    <t>04/26/2019 TO 05/23/2019</t>
  </si>
  <si>
    <t>04/23/2019 TO 05/21/2019</t>
  </si>
  <si>
    <t>04/30/2019 TO 05/24/2019</t>
  </si>
  <si>
    <t>04/25/2019 TO 05/22/2019</t>
  </si>
  <si>
    <t>05/01/2019 TO 05/30/2019</t>
  </si>
  <si>
    <t>NON DEPARTMENTAL PARK GENERATOR 3000 TOWLE PARK RD GENERATOR</t>
  </si>
  <si>
    <t>05/15/2019 TO 05/24/2019</t>
  </si>
  <si>
    <t>04/27/2019 TO 05/24/2019</t>
  </si>
  <si>
    <t>04/29/2019 TO 05/30/2019</t>
  </si>
  <si>
    <t>05/01/2019 TO 06/01/2019</t>
  </si>
  <si>
    <t xml:space="preserve">05/01/2019 TO </t>
  </si>
  <si>
    <t>05/03/2019 TO 06/05/2019</t>
  </si>
  <si>
    <t>05/02/2019 TO 06/03/2019</t>
  </si>
  <si>
    <t>05/01/2019 TO 05/31/2019</t>
  </si>
  <si>
    <t>04/26/2109 TO 05/24/2019</t>
  </si>
  <si>
    <t>05/13/2019 TO 06/12/2019</t>
  </si>
  <si>
    <t>05/10/2019 TO 06/11/2019</t>
  </si>
  <si>
    <t>05/07/2019 TO 06/06/2019</t>
  </si>
  <si>
    <t>05/09/2019 TO 06/10/2019</t>
  </si>
  <si>
    <t>05/08/2019 TO 06/07/2019</t>
  </si>
  <si>
    <t>Scurry County Airport Patterson UTI/MESQUITE OIL TOOLS,INC Hanger***EMAIL MESQUITE THEIR POSTION OF INVOICE</t>
  </si>
  <si>
    <t>SCURRY COUNTY 'S UTILITY USAGE FOR MAY 2019</t>
  </si>
  <si>
    <t>05/24/2019 TO 06/21/2019</t>
  </si>
  <si>
    <t>05/25/2019 TO 06/26/2019</t>
  </si>
  <si>
    <t>05/31/2019 TO 06/26/2019</t>
  </si>
  <si>
    <t>06/01/2019 TO 07/01/2019</t>
  </si>
  <si>
    <t>05/22/2019 TO 06/24/2019</t>
  </si>
  <si>
    <t>05/30/2019 TO 06/28/2019</t>
  </si>
  <si>
    <t>06/04/2019 TO 07/03/2019</t>
  </si>
  <si>
    <t>4646..00</t>
  </si>
  <si>
    <t>06/25/2019 TO 07/03/2019</t>
  </si>
  <si>
    <t>06/06/2019 TO 07/08/2019</t>
  </si>
  <si>
    <t>06/10/2019 TO 07/10/2019</t>
  </si>
  <si>
    <t>06/12/2019 TO 07/12/2019</t>
  </si>
  <si>
    <t>04/25/2019 TO 06/25/2019</t>
  </si>
  <si>
    <t>06/11/2019 TO 07/11/2019</t>
  </si>
  <si>
    <t>06/22/2019 TO 07/23/2019</t>
  </si>
  <si>
    <t>05/31/19to6/26/19to7/30/19</t>
  </si>
  <si>
    <t>06/27/2019-07/25/2019</t>
  </si>
  <si>
    <t>07/02/2019-08/02/2019</t>
  </si>
  <si>
    <t>06/27/2019-07/30/2019</t>
  </si>
  <si>
    <t>6/29/2019-07/29/2019</t>
  </si>
  <si>
    <t>05/25-06/25-07/29/2019</t>
  </si>
  <si>
    <t>06/28/2019-07/31/2019</t>
  </si>
  <si>
    <t>07/01/2019-08/01/2019</t>
  </si>
  <si>
    <t>06/26/2019 TO 07/29/2019</t>
  </si>
  <si>
    <t>07/01/2019 TO 08/01/2019</t>
  </si>
  <si>
    <t xml:space="preserve">06/27/2019 TO 07/25/2019 </t>
  </si>
  <si>
    <t>07/10/2019 TO 08/08/2019</t>
  </si>
  <si>
    <t>07/11/2019 TO 08/09/2019</t>
  </si>
  <si>
    <t>07/12/2019 TO 08/13/2019</t>
  </si>
  <si>
    <t>07/03/2019 TO 08/05/2019</t>
  </si>
  <si>
    <t>07/08/2019 TO 08/12/2019</t>
  </si>
  <si>
    <t>07/02/2019 TO 08/03/2019</t>
  </si>
  <si>
    <t>07/09/2019 TO 08/07/2019</t>
  </si>
  <si>
    <t>07/26/2019 TO 08/22/2019</t>
  </si>
  <si>
    <t>SCURRY COUNTY 'S UTILITY USAGE FOR JULY 2019</t>
  </si>
  <si>
    <t>SCURRY COUNTY 'S UTILITY USAGE FOR JUNE 2019</t>
  </si>
  <si>
    <t>SCURRY COUNTY 'S UTILITY USAGE FOR AUGUST 2019</t>
  </si>
  <si>
    <t xml:space="preserve">07/26/2019 TO 08/22/2019 </t>
  </si>
  <si>
    <t>07/24/2019 TO 08/23/2019</t>
  </si>
  <si>
    <t>07/30/2019 TO 08/26/2019</t>
  </si>
  <si>
    <t>07/31/2019 TO 08/27/2019</t>
  </si>
  <si>
    <t>07/26/2019 TO 08/26/2019</t>
  </si>
  <si>
    <t>08/01/2019 TO 09/01/2019</t>
  </si>
  <si>
    <t>08/01/2019 TO 09/03/2019</t>
  </si>
  <si>
    <t>08/02/2019 TO 09/03/2019</t>
  </si>
  <si>
    <t>08/06/2019 TO 09/06/2019</t>
  </si>
  <si>
    <t>08/14/2019 TO 08/26/2019</t>
  </si>
  <si>
    <t>08/09/2019 TO 09/11/2019</t>
  </si>
  <si>
    <t>08/08/2019 TO 09/10/2019</t>
  </si>
  <si>
    <t>08/07/2019 TO 09/09/2019</t>
  </si>
  <si>
    <t>08/10/2019 TO 09/18/2019</t>
  </si>
  <si>
    <t>08/13/2019 TO 09/12/2019</t>
  </si>
  <si>
    <t>06/25/2019 TO 08/25/2019</t>
  </si>
  <si>
    <t>08/23/2019 TO 09/20/2019</t>
  </si>
  <si>
    <t>08/23/2019 TO 09/24/2019</t>
  </si>
  <si>
    <t>08/27/2019 TO 09/26/2019</t>
  </si>
  <si>
    <t>08/28/2019 TO 09/27/2019</t>
  </si>
  <si>
    <t>08/24/2019 TO 09/23/2019</t>
  </si>
  <si>
    <t>08/30/2019 TO 09/27/2019</t>
  </si>
  <si>
    <t>10/02/2019 TO 10/02/2019</t>
  </si>
  <si>
    <t>09/01/2019 TO 10/01/2019</t>
  </si>
  <si>
    <t>INACTIVE</t>
  </si>
  <si>
    <t>SCURRY COUNTY 'S UTILITY USAGE FOR SEPTEMBER 2019</t>
  </si>
  <si>
    <t>09/04/2019 TO 10/01/2019</t>
  </si>
  <si>
    <t>304 37th ST (fuel station)Non Departmental</t>
  </si>
  <si>
    <t>#10443720006637050</t>
  </si>
  <si>
    <t>09/20/2019 TO 10/03/2019</t>
  </si>
  <si>
    <t>09/04/2019 T0 10/03/2019</t>
  </si>
  <si>
    <t>09/04/2019 TO 10/03/2019</t>
  </si>
  <si>
    <t>09/03/2019 TO 10/02/2019</t>
  </si>
  <si>
    <t>09/09/2019 TO 10/09/2019</t>
  </si>
  <si>
    <t>09/06/2019 TO 10/08/2019</t>
  </si>
  <si>
    <t>09/10/2019 TO 10/10/2019</t>
  </si>
  <si>
    <t>09/11/2019 TO 10/11/2019</t>
  </si>
  <si>
    <t>09/12/2019 TO 10/14/2019</t>
  </si>
  <si>
    <t>09/25/2019 TO 10/22/2019</t>
  </si>
  <si>
    <t>09/21/2019 TO 10/23/2019</t>
  </si>
  <si>
    <t>09/27/2019 TO 10/25/2019</t>
  </si>
  <si>
    <t>09/28/2019 TO 10/25/2019</t>
  </si>
  <si>
    <t>09/26/2019 TO 10/28/2019</t>
  </si>
  <si>
    <t>SCURRY COUNTY 'S UTILITY USAGE FOR OCTOBER 2019</t>
  </si>
  <si>
    <t>09/24/2019 TO 10/24/2019</t>
  </si>
  <si>
    <t>11/05/2019 TO 11/05/2019</t>
  </si>
  <si>
    <t>10/01/2019 TO 10/07/2019</t>
  </si>
  <si>
    <t>10/02/2019 TO 11/01/2019</t>
  </si>
  <si>
    <t>10/01/2019 TO 11/01/2019</t>
  </si>
  <si>
    <t>10/08/2019 TO 11/06/2019</t>
  </si>
  <si>
    <t>10/03/2019 TO 11/04/2019</t>
  </si>
  <si>
    <t>10/11/2019 TO 11/11/2019</t>
  </si>
  <si>
    <t>10/10/2019 TO 11/08/2019</t>
  </si>
  <si>
    <t>10/09/2019 TO 11/07/2019</t>
  </si>
  <si>
    <t>10/14/2019 TO 11/12/2019</t>
  </si>
  <si>
    <t>10/26/2019 TO 11/26/2019</t>
  </si>
  <si>
    <t>10/25/2019 TO 11/22/2019</t>
  </si>
  <si>
    <t>10/29/2019 TO 11/25/2019</t>
  </si>
  <si>
    <t>11/01/2019 TO 12/01/2019</t>
  </si>
  <si>
    <t>08/25/2019 TO 10/25/2019</t>
  </si>
  <si>
    <t>10/24/2019 TO 11/21/2019</t>
  </si>
  <si>
    <t>10/10/2019 TO 11/10/2019</t>
  </si>
  <si>
    <t>11/02/2019 TO 12/02/2019</t>
  </si>
  <si>
    <t>SCURRY COUNTY 'S UTILITY USAGE FOR NOVEMBER 2019</t>
  </si>
  <si>
    <t>11/04/2019 TO 12/05/2019</t>
  </si>
  <si>
    <t>11/07/2019 TO 12/09/2019</t>
  </si>
  <si>
    <t>11/06/2019 TO 12/07/2019</t>
  </si>
  <si>
    <t>11/08/2019 TO 12/10/2019</t>
  </si>
  <si>
    <t>11/11/2019 TO 12/11/2019</t>
  </si>
  <si>
    <t>11/10/2019 TO 12/10/2019</t>
  </si>
  <si>
    <t>11/12/2019 TO 12/12/2019</t>
  </si>
  <si>
    <t>11/23/2019 TO 12/20/2019</t>
  </si>
  <si>
    <t>11/26/2019 TO 12/26/2019</t>
  </si>
  <si>
    <t>11/23/2019 TO 12/26/2019</t>
  </si>
  <si>
    <t>11/29/2019 TO 12/26/2019</t>
  </si>
  <si>
    <t>11/27/2019 TO 12/31/2019</t>
  </si>
  <si>
    <t>12/03/2019 TO 01/02/2020</t>
  </si>
  <si>
    <t>11/22/2019 TO 12/23/2019</t>
  </si>
  <si>
    <t>SCURRY COUNTY 'S UTILITY USAGE FOR DECEMBER 2019</t>
  </si>
  <si>
    <t>01/03/2019 TO 01/03/2019</t>
  </si>
  <si>
    <t>12/01/2019 TO 12/31/2019</t>
  </si>
  <si>
    <t>12/01/2019 TO 01/01/2019</t>
  </si>
  <si>
    <t>12/01/2019 TO 01/01/2020</t>
  </si>
  <si>
    <t>12/04/2019 TO 01/03/2020</t>
  </si>
  <si>
    <t>12/04/2019 TO 12/30/2019</t>
  </si>
  <si>
    <t>12/05/2019 TO 01/06/2019</t>
  </si>
  <si>
    <t>12/0/2019 TO 01/01/2020</t>
  </si>
  <si>
    <t>12/07/2019 TO 01/08/2020</t>
  </si>
  <si>
    <t>12/07/2019  TO 01/08/2020</t>
  </si>
  <si>
    <t>12/10/2019 TO 01/10/2020</t>
  </si>
  <si>
    <t>12/11/2019 TO 01/11/2020</t>
  </si>
  <si>
    <t>12/10/2019 TO 01/20/2020</t>
  </si>
  <si>
    <t>12/09/2019 TO 01/09/2020</t>
  </si>
  <si>
    <t>12/07/2019 TO 12/08/2020</t>
  </si>
  <si>
    <t>10/25/2019 TO 12/25/2019</t>
  </si>
  <si>
    <t>12/12/2019 TO 01/13/2020</t>
  </si>
  <si>
    <t>01/11/2020 TO 01/13/2020</t>
  </si>
  <si>
    <t>12/21/2019 TO 01/23/2020</t>
  </si>
  <si>
    <t>12/24/2019 TO 01/23/2020</t>
  </si>
  <si>
    <t>12/27/2019 TO 01/27/2020</t>
  </si>
  <si>
    <t>12/31/2019 TO 01/28/2020</t>
  </si>
  <si>
    <t>01/01/2020 TO 02/01/2020</t>
  </si>
  <si>
    <t>02/04/2020 TO 02/04/2020</t>
  </si>
  <si>
    <t>12/26/2020 TO 01/28/2020</t>
  </si>
  <si>
    <t>01/03/2020 TO 02/03/2020</t>
  </si>
  <si>
    <t>SCURRY COUNTY 'S UTILITY USAGE FOR JANUARY 2020</t>
  </si>
  <si>
    <t>12/31/2019 TO 02/03/2020</t>
  </si>
  <si>
    <t>12/31/2020 TO 02/03/2020</t>
  </si>
  <si>
    <t>TXU 1720 01/2020</t>
  </si>
  <si>
    <t>METER ID</t>
  </si>
  <si>
    <t>116111002LG</t>
  </si>
  <si>
    <t>01/11/2020 TO 02/10/2020</t>
  </si>
  <si>
    <t xml:space="preserve">704 WHEAT ST </t>
  </si>
  <si>
    <t>137954273LG</t>
  </si>
  <si>
    <t>#10443720005036600</t>
  </si>
  <si>
    <t>2111 12TH ST</t>
  </si>
  <si>
    <t>140542012LG</t>
  </si>
  <si>
    <t>110776098LG</t>
  </si>
  <si>
    <t>7001947142MV</t>
  </si>
  <si>
    <t>112566284LG</t>
  </si>
  <si>
    <t>#10443720005028615</t>
  </si>
  <si>
    <t>1916 23RD ST (LIBRARY)</t>
  </si>
  <si>
    <t>7001981826SD</t>
  </si>
  <si>
    <t>102668763LG</t>
  </si>
  <si>
    <t>7007938230MV</t>
  </si>
  <si>
    <t>1806 25TH STE 205</t>
  </si>
  <si>
    <t>143529127LG</t>
  </si>
  <si>
    <t xml:space="preserve">911 26TH ST </t>
  </si>
  <si>
    <t>103413185LG</t>
  </si>
  <si>
    <t>1300 26TH ST DEPT POLIC</t>
  </si>
  <si>
    <t>111722502LG</t>
  </si>
  <si>
    <t>1300 26TH ST GRDL</t>
  </si>
  <si>
    <t>7001956785MV</t>
  </si>
  <si>
    <t>911 26TH ST GRDL</t>
  </si>
  <si>
    <t>7001952553MH</t>
  </si>
  <si>
    <t>1500 28TH ST</t>
  </si>
  <si>
    <t>105685612LG</t>
  </si>
  <si>
    <t>7001968416MV</t>
  </si>
  <si>
    <t xml:space="preserve">1300 37TH ST </t>
  </si>
  <si>
    <t>115181281LG</t>
  </si>
  <si>
    <t>400 37TH ST</t>
  </si>
  <si>
    <t>107269488LG</t>
  </si>
  <si>
    <t>1300 37TH ST RSTR</t>
  </si>
  <si>
    <t>111645979LG</t>
  </si>
  <si>
    <t>1300 37TH ST UNIT B</t>
  </si>
  <si>
    <t>147645747LG</t>
  </si>
  <si>
    <t>7007968938MV</t>
  </si>
  <si>
    <t>2605 AVE M GRDL 1</t>
  </si>
  <si>
    <t>7007969170MV</t>
  </si>
  <si>
    <t>2605 AVE M GRDL 3</t>
  </si>
  <si>
    <t>7009628659SD</t>
  </si>
  <si>
    <t>2605 AVE M</t>
  </si>
  <si>
    <t>112567821LG</t>
  </si>
  <si>
    <t>#10773720004914473</t>
  </si>
  <si>
    <t>2605 AVE M GRDL 2</t>
  </si>
  <si>
    <t>7007969127MV</t>
  </si>
  <si>
    <t>1201 AVE O</t>
  </si>
  <si>
    <t>139428957LG</t>
  </si>
  <si>
    <t>1000 AVE O GRDL</t>
  </si>
  <si>
    <t>7007969002MV</t>
  </si>
  <si>
    <t xml:space="preserve">C CITY HWY PREC 4 </t>
  </si>
  <si>
    <t>112891792LG</t>
  </si>
  <si>
    <t>2511 COLLEGE AVE</t>
  </si>
  <si>
    <t>102021789LG</t>
  </si>
  <si>
    <t>2711 COLLEGE AVE</t>
  </si>
  <si>
    <t>105689995LG</t>
  </si>
  <si>
    <t xml:space="preserve">3902 COLLEGE AVE </t>
  </si>
  <si>
    <t>116949491LG</t>
  </si>
  <si>
    <t>148100975LG</t>
  </si>
  <si>
    <t>COURT HOUSE</t>
  </si>
  <si>
    <t>111723121LG</t>
  </si>
  <si>
    <t>LUBBOCK HWY C CLB</t>
  </si>
  <si>
    <t>111658327LG</t>
  </si>
  <si>
    <t xml:space="preserve">2317 N TOWLE PARK RD </t>
  </si>
  <si>
    <t>111301560LG</t>
  </si>
  <si>
    <t>SCURRY COUNTY STREET L STLG 1</t>
  </si>
  <si>
    <t>7002155844MV</t>
  </si>
  <si>
    <t>SCURRY COUNTY STREET L STGL 2</t>
  </si>
  <si>
    <t>7007942594MV</t>
  </si>
  <si>
    <t>SCURRY COUNTY STREET L STLG 3</t>
  </si>
  <si>
    <t>7007956508MV</t>
  </si>
  <si>
    <t>STREETLIGH STLG</t>
  </si>
  <si>
    <t>7002338272SD</t>
  </si>
  <si>
    <t>7709617748SD</t>
  </si>
  <si>
    <t>#104437200000117936</t>
  </si>
  <si>
    <t>150338812LG</t>
  </si>
  <si>
    <t>105678867LG</t>
  </si>
  <si>
    <t>2300 TOWLE PARK RD WL</t>
  </si>
  <si>
    <t>118425732LG</t>
  </si>
  <si>
    <t>WATER TOWER</t>
  </si>
  <si>
    <t>116110988LG</t>
  </si>
  <si>
    <t>01/24/2020 TO 02/21/2020</t>
  </si>
  <si>
    <t>01/28/2020 TO 02/25/2020</t>
  </si>
  <si>
    <t>01/24/2020 TO 02/25/2020</t>
  </si>
  <si>
    <t>01/25/2020 TO 02/25/2020</t>
  </si>
  <si>
    <t>01/30/2020 TO 02/28/2020</t>
  </si>
  <si>
    <t>01/26/2020 TO 02/26/2020</t>
  </si>
  <si>
    <t>SCURRY COUNTY 'S UTILITY USAGE FOR FEBRUARY 2020</t>
  </si>
  <si>
    <t>03/03/2020 TO 03/03/2020</t>
  </si>
  <si>
    <t>02/01/2020 TO 02/28/2020</t>
  </si>
  <si>
    <t>02/04/2020 TO 03/04/2020</t>
  </si>
  <si>
    <t>02/03/2020 TO 02/28/2020</t>
  </si>
  <si>
    <t>01/28/2020 TO 02/28/2020</t>
  </si>
  <si>
    <t>02/06/2020 TO 03/06/2020</t>
  </si>
  <si>
    <t>01/03/2020 TO 02/28/2020</t>
  </si>
  <si>
    <t>02/10/2020 T0 03/10/2020</t>
  </si>
  <si>
    <t>02/11/2020 TO 03/10/2020</t>
  </si>
  <si>
    <t>03/10/2020 TO 03/13/2020</t>
  </si>
  <si>
    <t>FINAL</t>
  </si>
  <si>
    <t>03/06/2020 TO 03/13/2020</t>
  </si>
  <si>
    <t>02/12/2020 TO 03/12/2020</t>
  </si>
  <si>
    <t>SCURRY COUNTY STREET L STGL2(NONDPRMTNTL)</t>
  </si>
  <si>
    <t>307 37TH ST (FUEL STATION) NON DEPARTMENTAL</t>
  </si>
  <si>
    <t>03/04/2020 TO 03/13/2020</t>
  </si>
  <si>
    <t>02/10/2020 TO 03/10/2020</t>
  </si>
  <si>
    <t>12/25/2019 TO 02/25/2020</t>
  </si>
  <si>
    <t>02/26/2020 TO 03/25/2020</t>
  </si>
  <si>
    <t>02/27/2020 TO 03/25/2020</t>
  </si>
  <si>
    <t>02/26/2020 TO 03/23/2020</t>
  </si>
  <si>
    <t>02/22/2020 TO 03/20/2020</t>
  </si>
  <si>
    <t>02/29/2020 TO 03/26/2020</t>
  </si>
  <si>
    <t>02/28/2020 TO 03/30/2020</t>
  </si>
  <si>
    <t>03/17/2020 TO 04/01/2020</t>
  </si>
  <si>
    <t>04/02/2020 TO 04/02/2020</t>
  </si>
  <si>
    <t>SCURRY COUNTY 'S UTILITY USAGE FOR MARCH 2020</t>
  </si>
  <si>
    <t>03/01/2020 TO 04/01/2020</t>
  </si>
  <si>
    <t>2605 AVE M SENIOR CENTER</t>
  </si>
  <si>
    <t>03/10/2020 TO 04/01/2020</t>
  </si>
  <si>
    <t>03/24/2020 TO 04/23/2020</t>
  </si>
  <si>
    <t>03/11/2020 TO 04/08/2020</t>
  </si>
  <si>
    <t xml:space="preserve">304 37TH ST </t>
  </si>
  <si>
    <t>156035457LG</t>
  </si>
  <si>
    <t xml:space="preserve">1300 37TH ST RSTR </t>
  </si>
  <si>
    <t>1101 AVE O UNIT RV-1</t>
  </si>
  <si>
    <t>131407692LG</t>
  </si>
  <si>
    <t>SCURRY COUNTY STREET L STLG 2</t>
  </si>
  <si>
    <t>7010872602SD</t>
  </si>
  <si>
    <t>2203 TOWLE PARK RD</t>
  </si>
  <si>
    <t>153704709LG</t>
  </si>
  <si>
    <t>03/26/2020 TO 04/27/2020</t>
  </si>
  <si>
    <t>03/27/2020 TO 04/28/2020</t>
  </si>
  <si>
    <t>03/30/2020 TO 04/30/2020</t>
  </si>
  <si>
    <t>04/01/2020 TO 04/30/2020</t>
  </si>
  <si>
    <t>04/20/2020 TO 05/01/2020</t>
  </si>
  <si>
    <t>SCURRY COUNTY 'S UTILITY USAGE FOR APRIL 2020</t>
  </si>
  <si>
    <t>#104437200006637000</t>
  </si>
  <si>
    <t xml:space="preserve">CAVALLO </t>
  </si>
  <si>
    <t>1101 AVE O PARK</t>
  </si>
  <si>
    <t>04/06/2020 TO 05/062020</t>
  </si>
  <si>
    <t>#10443720000007391</t>
  </si>
  <si>
    <t>02/25/2020 TO 04/25/2020</t>
  </si>
  <si>
    <t>04/01/2020 TO 05/12/2020</t>
  </si>
  <si>
    <t>04/10/2020  TO 05/10/2020</t>
  </si>
  <si>
    <t>04/10/2020 TO 05/10/2020</t>
  </si>
  <si>
    <t>04/09/2020 TO 05/10/2020</t>
  </si>
  <si>
    <t>04/24/2020 TO 05/22/2020</t>
  </si>
  <si>
    <t>04/28/2020 TO 05/27/2020</t>
  </si>
  <si>
    <t>04/29/2020 TO 05/28/2020</t>
  </si>
  <si>
    <t>04/01/2020 TO 05/10/2020</t>
  </si>
  <si>
    <t xml:space="preserve">05/01/2020 TO 06/01/2020 </t>
  </si>
  <si>
    <t>04/30/2020 TO 05/28/2020</t>
  </si>
  <si>
    <t>05/02/2020 TO 06/01/2020</t>
  </si>
  <si>
    <t>04/22020 TO 05/07/2020</t>
  </si>
  <si>
    <t>SCURRY COUNTY 'S UTILITY USAGE FOR MAY2020</t>
  </si>
  <si>
    <t>05/12/2020 TO 06/01/2020</t>
  </si>
  <si>
    <t>05/15/2020 TO 06/01/2020</t>
  </si>
  <si>
    <t>04/23/2020 TO 05/20/2020</t>
  </si>
  <si>
    <t xml:space="preserve">Cavallo </t>
  </si>
  <si>
    <t>05/06/2020 TO 06/05/2020</t>
  </si>
  <si>
    <t>04/30/2020 to 06/01/2020</t>
  </si>
  <si>
    <t>05/10/2020 TO 06/10/2020</t>
  </si>
  <si>
    <t xml:space="preserve">1101 AVE O UNIT RV-1 </t>
  </si>
  <si>
    <t xml:space="preserve">2203 TOWLE PARK RD </t>
  </si>
  <si>
    <t>15304709LG</t>
  </si>
  <si>
    <t>05/23/2020 TO 06/22/2020</t>
  </si>
  <si>
    <t>05/29/2020 TO 06/26/2020</t>
  </si>
  <si>
    <t>05/28/2020 TO 06/30/2020</t>
  </si>
  <si>
    <t>06/01/2020 TO 07/01/2020</t>
  </si>
  <si>
    <t>05/30/2020 TO 06/29/2020</t>
  </si>
  <si>
    <t>06/02/2020 TO 07/01/2020</t>
  </si>
  <si>
    <t>SCURRY COUNTY 'S UTILITY USAGE FOR JUNE 2020</t>
  </si>
  <si>
    <t>06/01/200 TO 07/01/2020</t>
  </si>
  <si>
    <t>06/10/2020 TO 07/17/2020</t>
  </si>
  <si>
    <t>06/24/2020 TO 07/24/2020</t>
  </si>
  <si>
    <t>06/10/2020 TO 07/12/2020</t>
  </si>
  <si>
    <t>06/27/2020 to 07/28/2020</t>
  </si>
  <si>
    <t>06/30/2020 TO 07/30/2020</t>
  </si>
  <si>
    <t>07/02/2020 TO 08/30/2020</t>
  </si>
  <si>
    <t>07/01/2020 TO 08/01/2020</t>
  </si>
  <si>
    <t>04/25/2020 TO 06/25/2020</t>
  </si>
  <si>
    <t>SCURRY COUNTY 'S UTILITY USAGE FOR JULY 2020</t>
  </si>
  <si>
    <t>07/10/2020 TO 08/10/2020</t>
  </si>
  <si>
    <t>07/13/2020 TO 08/10/200</t>
  </si>
  <si>
    <t>304 37TH STREET</t>
  </si>
  <si>
    <t>1101 AVE 0 UNIT RV-1</t>
  </si>
  <si>
    <t>#10443720000007422</t>
  </si>
  <si>
    <t>SCURRYCOUNTY-140W LED COBRA STLG2</t>
  </si>
  <si>
    <t>#10443720004338262</t>
  </si>
  <si>
    <t>STREET L STLG 2</t>
  </si>
  <si>
    <t>07/13/2020 TO 08/10/2020</t>
  </si>
  <si>
    <t>07/25/2020 TO 08/25/2020</t>
  </si>
  <si>
    <t>07/24/2020 TO 08/25/2020</t>
  </si>
  <si>
    <t>07/31/2020 TO 08/28/2020</t>
  </si>
  <si>
    <t>07/30/2020 TO 08/27/2020</t>
  </si>
  <si>
    <t>07/29/2020 TO 08/27/2020</t>
  </si>
  <si>
    <t>08/01/2020 TO 09/01/2020</t>
  </si>
  <si>
    <t>218..00</t>
  </si>
  <si>
    <t>07/28/2020 TO 08/28/2020</t>
  </si>
  <si>
    <t>SCURRY COUNTY 'S UTILITY USAGE FOR AUGUST 2020</t>
  </si>
  <si>
    <t>09/01/2020 TO 10/01/2020</t>
  </si>
  <si>
    <t>09/02/2020 TO 10/01/2020</t>
  </si>
  <si>
    <t>09/10/2020 TO 10/08/2020</t>
  </si>
  <si>
    <t>SCURRY COUNTY 'S UTILITY USAGE FOR SEPTEMBER 2020</t>
  </si>
  <si>
    <t>09/30/2020 TO 10/28/2020</t>
  </si>
  <si>
    <t>10/01/2020 TO 11/02/2020</t>
  </si>
  <si>
    <t>Scurry County Airport Patterson UTI Hanger**MESQUITE OIL&amp;TOOLS</t>
  </si>
  <si>
    <t>SCURRY COUNTY 'S UTILITY USAGE FOR OCTOBER  2020</t>
  </si>
  <si>
    <t>CAVALLO</t>
  </si>
  <si>
    <t>10/06/2020 TO 11/05/2020</t>
  </si>
  <si>
    <t>130409495LG</t>
  </si>
  <si>
    <t>10/03/2020 TO 11/25/2020</t>
  </si>
  <si>
    <t>10/29/2020 TO 11/23/2020</t>
  </si>
  <si>
    <t>11/02/2020 TO 12/01/2020</t>
  </si>
  <si>
    <t>SCURRY COUNTY 'S UTILITY USAGE FOR NOVEMBER  2020</t>
  </si>
  <si>
    <t>10/28/2020 TO 11/27/2020</t>
  </si>
  <si>
    <t>11/01/2020 TO 12/01/2020</t>
  </si>
  <si>
    <t>11/10/2020 TO 12/08/2020</t>
  </si>
  <si>
    <t>11/11/2020 TO 12/09/2020</t>
  </si>
  <si>
    <t>11/03/2020 TO 12/02/2020</t>
  </si>
  <si>
    <t>11/05/2020 TO 12/04/2020</t>
  </si>
  <si>
    <t>11/06/2020 TO 12/06/2020</t>
  </si>
  <si>
    <t>11/09/2020 TO 12/07/2020</t>
  </si>
  <si>
    <t>TXU 1720 01/2020***MONTH CRDT WAS APPL'D***</t>
  </si>
  <si>
    <t>11/21/2020 TO 12/22/2020</t>
  </si>
  <si>
    <t>11/20/2020 TO 12/22/2020</t>
  </si>
  <si>
    <t>11/27/2020 TO 12/22/2020</t>
  </si>
  <si>
    <t>11/24/2020 TO 12/28/2020</t>
  </si>
  <si>
    <t>11/10/2020 TO 12/10/2020</t>
  </si>
  <si>
    <t>11/26/2020  TO 12/29/2020</t>
  </si>
  <si>
    <t>11/25/</t>
  </si>
  <si>
    <t>11/25/2020 TO 12/28/2020</t>
  </si>
  <si>
    <t>12/01/2020 TO 01/01/2021</t>
  </si>
  <si>
    <t>11/30/2020 TO 01/01/2021</t>
  </si>
  <si>
    <t>12/02/2020 TO 01/04/2021</t>
  </si>
  <si>
    <t>SCURRY COUNTY 'S UTILITY USAGE FOR DECEMBER  2020</t>
  </si>
  <si>
    <t>12/09/2020 TO 01/08/2021</t>
  </si>
  <si>
    <t>12/29/2020 TO 01/26/2021</t>
  </si>
  <si>
    <t>12/30/2020 TO 01/29/2021</t>
  </si>
  <si>
    <t>01/01/2021 TO 02/01/2021</t>
  </si>
  <si>
    <t>01/09/2021 TO 02/07/2021</t>
  </si>
  <si>
    <t>0..</t>
  </si>
  <si>
    <t>SCURRY COUNTY 'S UTILITY USAGE FOR JANUARY 2021</t>
  </si>
  <si>
    <t>01/23/2021 TO 02/23/2021</t>
  </si>
  <si>
    <t>02/01/2021 03/01/2021</t>
  </si>
  <si>
    <t>02/01/2021 TO 03/01/2021</t>
  </si>
  <si>
    <t>01/28/2021 TO 02/25/2021</t>
  </si>
  <si>
    <t>01/10/2021 TO 02/10/2021</t>
  </si>
  <si>
    <t>Parks Fluv Com Prec #2 **GOT RID OF FEB2021</t>
  </si>
  <si>
    <t>39.3.0</t>
  </si>
  <si>
    <t>SCURRY COUNTY 'S UTILITY USAGE FOR FEBRUARY 2021</t>
  </si>
  <si>
    <t>01/27/2021 TO 02/25/2021</t>
  </si>
  <si>
    <t>02/10/2020 TO 03/10/2021</t>
  </si>
  <si>
    <t>12/25/2020 TO 02/25/2021</t>
  </si>
  <si>
    <t>02/25/2021 TO 03/26/2021</t>
  </si>
  <si>
    <t>02/24/2021 TO 03/23/2021</t>
  </si>
  <si>
    <t>03/01/2021 TO 04/01/2021</t>
  </si>
  <si>
    <t>02/24/2021 T0 04/01/2021</t>
  </si>
  <si>
    <t>02/08/2021 TO 03/09/2021</t>
  </si>
  <si>
    <t>SOLD</t>
  </si>
  <si>
    <t>03/10/2021 TO 04/08/2021</t>
  </si>
  <si>
    <t>03/10/2021 TO 04/10/2021</t>
  </si>
  <si>
    <t>SCURRY COUNTY 'S UTILITY USAGE FOR MARCH 2021</t>
  </si>
  <si>
    <t>03/24/2021 TO 04/26/2021</t>
  </si>
  <si>
    <t>03/27/2021 TO 04/29/2021</t>
  </si>
  <si>
    <t>02/23/2021 TO 03/23/2021</t>
  </si>
  <si>
    <t>03/26/2021 TO 04/30/2021</t>
  </si>
  <si>
    <t>04/01/2021 TO 05/01/2021</t>
  </si>
  <si>
    <t>1101 AVE O</t>
  </si>
  <si>
    <t>04/06/2021 TO 05/06/2021</t>
  </si>
  <si>
    <t>SCURRY COUNTY 'S UTILITY USAGE FOR APRIL 2021</t>
  </si>
  <si>
    <t>02/25/2021 TO 04/25/2021</t>
  </si>
  <si>
    <t>04/09/2021 TO 05/10/2021</t>
  </si>
  <si>
    <t>04/27/21 TO 05/20/21</t>
  </si>
  <si>
    <t>04/10/21 TO 05/10/21</t>
  </si>
  <si>
    <t>4/2/2021 TO 5/2/2021</t>
  </si>
  <si>
    <t>03/24/2021 TO 04/23/2021</t>
  </si>
  <si>
    <t>3/26/2021 TO 04/27/2021</t>
  </si>
  <si>
    <t>EMS 3902 COLLEGE AVE</t>
  </si>
  <si>
    <t>04/10/2021 TO 05/10/2021</t>
  </si>
  <si>
    <t>04/10/2021  TO 05/10/2021</t>
  </si>
  <si>
    <t>4/28/2021 TO 05/25/2021</t>
  </si>
  <si>
    <t>4/27/2021 TO 05/21/2021</t>
  </si>
  <si>
    <t>04/30/2021 TO 05/25/2021</t>
  </si>
  <si>
    <t>4/30/2021 TO 05/25/2021</t>
  </si>
  <si>
    <t>4/24/2021 TO 05/21/2021</t>
  </si>
  <si>
    <t>4/10/2021 TO 05/10/2021</t>
  </si>
  <si>
    <t>05/01/2021 TO 05/26/2021</t>
  </si>
  <si>
    <t>5/1/2021 TO 05/26/2021</t>
  </si>
  <si>
    <t>5/5/2021 TO 6/1/2021</t>
  </si>
  <si>
    <t>05/05/2021 TO 6/1/2021</t>
  </si>
  <si>
    <t>5/1/2021 TO 06/01/2021</t>
  </si>
  <si>
    <t>5/10/21 TO 06/10/21</t>
  </si>
  <si>
    <t>SCURRY COUNTY 'S UTILITY USAGE FOR MAY 2021</t>
  </si>
  <si>
    <t>5/21/21 TO 6/21/21</t>
  </si>
  <si>
    <t>5/27/21 TO 6/25/21</t>
  </si>
  <si>
    <t>5/22/21 TO 6/24/21</t>
  </si>
  <si>
    <t>5/26/2021 TO 6/24/21</t>
  </si>
  <si>
    <t>5/26/21 TO 6/28/21</t>
  </si>
  <si>
    <t>5/26/21 TO 6/24/21</t>
  </si>
  <si>
    <t>5/22/21 TO 6/22/21</t>
  </si>
  <si>
    <t>5/22/2021 TO 6/22/21</t>
  </si>
  <si>
    <t>6/2/21 TO 7/1/21</t>
  </si>
  <si>
    <t>SCURRY COUNTY 'S UTILITY USAGE FOR JUNE 2021</t>
  </si>
  <si>
    <t>6/1/21 TO 7/1/21</t>
  </si>
  <si>
    <t>4/25/21 TO 6/25/21</t>
  </si>
  <si>
    <t>6/10/21 TO 7/10/21</t>
  </si>
  <si>
    <t>06/10/21 TO 07/10/21</t>
  </si>
  <si>
    <t>6/22/21 TO 7/23/21</t>
  </si>
  <si>
    <t>6/23/21 TO 7/26/21</t>
  </si>
  <si>
    <t>6/25/21 to 07/23/21</t>
  </si>
  <si>
    <t>6/25/21 TO 07/28/21</t>
  </si>
  <si>
    <t>6/25/21 to 07/28/21</t>
  </si>
  <si>
    <t>6/26/21 to 7/28/21</t>
  </si>
  <si>
    <t>6/29/21 to 07/27/21</t>
  </si>
  <si>
    <t>6/25/21 to 7/28/21</t>
  </si>
  <si>
    <t>6/23/21 TO 7/23/21</t>
  </si>
  <si>
    <t>6/22/21 TO 7/27/21</t>
  </si>
  <si>
    <t>SCURRY COUNTY 'S UTILITY USAGE FOR JULY 2021</t>
  </si>
  <si>
    <t>7/1/21 TO 8/1/21</t>
  </si>
  <si>
    <t>7/2/21 TO 8/2/21</t>
  </si>
  <si>
    <t>7/1/21 TO 8/13/21</t>
  </si>
  <si>
    <t>7/10/21 TO 8/10/21</t>
  </si>
  <si>
    <t>7/27/21 TO 8/23/21</t>
  </si>
  <si>
    <t>SCURRY COUNTY 'S UTILITY USAGE FOR AUGUST 2021</t>
  </si>
  <si>
    <t>7/24/21 TO 8/25/21</t>
  </si>
  <si>
    <t>7/24/21 TO 8/20/21</t>
  </si>
  <si>
    <t>7/29/21 TO 8/25/21</t>
  </si>
  <si>
    <t>7/21/21 TO 8/25/21</t>
  </si>
  <si>
    <t>7/29/21 TO 08/25/21</t>
  </si>
  <si>
    <t>7/28/21 TO 08/27/21</t>
  </si>
  <si>
    <t>7/29/21 TO 8/30/21</t>
  </si>
  <si>
    <t>8/1/21 TO 9/1/21</t>
  </si>
  <si>
    <t>8/31/21 TO 9/1/21</t>
  </si>
  <si>
    <t>7/27/21 TO 8/26/21</t>
  </si>
  <si>
    <t>7/29/21 to 8/25/21</t>
  </si>
  <si>
    <t>8/13/21 TO 9/1/21</t>
  </si>
  <si>
    <t>8/10/21 to 9/10/21</t>
  </si>
  <si>
    <t>6/25/21 TO 8/25/21</t>
  </si>
  <si>
    <t>SCURRY COUNTY 'S UTILITY USAGE FOR SEPTEMBER 2021</t>
  </si>
  <si>
    <t>8/24/21 TO 9/23/21</t>
  </si>
  <si>
    <t>8/21/21 to 9/24/21</t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</si>
  <si>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Prec 4</t>
    </r>
    <r>
      <rPr>
        <sz val="10"/>
        <color theme="1"/>
        <rFont val="Calibri"/>
        <family val="2"/>
        <scheme val="minor"/>
      </rPr>
      <t xml:space="preserve"> Water Well</t>
    </r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</si>
  <si>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Pct 1</t>
    </r>
    <r>
      <rPr>
        <sz val="10"/>
        <color theme="1"/>
        <rFont val="Calibri"/>
        <family val="2"/>
        <scheme val="minor"/>
      </rPr>
      <t xml:space="preserve"> Maintenance Barn</t>
    </r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</si>
  <si>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PREC 2</t>
    </r>
    <r>
      <rPr>
        <sz val="10"/>
        <color theme="1"/>
        <rFont val="Calibri"/>
        <family val="2"/>
        <scheme val="minor"/>
      </rPr>
      <t>-WW-Barn-Lite</t>
    </r>
  </si>
  <si>
    <r>
      <t xml:space="preserve">GOLF COURSE &amp; WW </t>
    </r>
    <r>
      <rPr>
        <b/>
        <sz val="10"/>
        <color theme="1"/>
        <rFont val="Calibri"/>
        <family val="2"/>
        <scheme val="minor"/>
      </rPr>
      <t>Roby Address 3637</t>
    </r>
  </si>
  <si>
    <r>
      <t xml:space="preserve">GOLF COURSE PUMP </t>
    </r>
    <r>
      <rPr>
        <b/>
        <sz val="10"/>
        <color theme="1"/>
        <rFont val="Calibri"/>
        <family val="2"/>
        <scheme val="minor"/>
      </rPr>
      <t>Roby Address 3637</t>
    </r>
  </si>
  <si>
    <r>
      <rPr>
        <b/>
        <sz val="10"/>
        <color theme="1"/>
        <rFont val="Calibri"/>
        <family val="2"/>
        <scheme val="minor"/>
      </rPr>
      <t>Park</t>
    </r>
    <r>
      <rPr>
        <sz val="10"/>
        <color theme="1"/>
        <rFont val="Calibri"/>
        <family val="2"/>
        <scheme val="minor"/>
      </rPr>
      <t xml:space="preserve"> 3006 Towle Park Rd</t>
    </r>
  </si>
  <si>
    <r>
      <rPr>
        <b/>
        <sz val="10"/>
        <color theme="1"/>
        <rFont val="Calibri"/>
        <family val="2"/>
        <scheme val="minor"/>
      </rPr>
      <t>Park</t>
    </r>
    <r>
      <rPr>
        <sz val="10"/>
        <color theme="1"/>
        <rFont val="Calibri"/>
        <family val="2"/>
        <scheme val="minor"/>
      </rPr>
      <t xml:space="preserve"> 2912 Towle Park Rd S</t>
    </r>
  </si>
  <si>
    <r>
      <rPr>
        <b/>
        <sz val="10"/>
        <color theme="1"/>
        <rFont val="Calibri"/>
        <family val="2"/>
        <scheme val="minor"/>
      </rPr>
      <t>Health Unit</t>
    </r>
    <r>
      <rPr>
        <sz val="10"/>
        <color theme="1"/>
        <rFont val="Calibri"/>
        <family val="2"/>
        <scheme val="minor"/>
      </rPr>
      <t xml:space="preserve"> 911 26TH ST</t>
    </r>
  </si>
  <si>
    <r>
      <rPr>
        <b/>
        <sz val="10"/>
        <color theme="1"/>
        <rFont val="Calibri"/>
        <family val="2"/>
        <scheme val="minor"/>
      </rPr>
      <t>EMS</t>
    </r>
    <r>
      <rPr>
        <sz val="10"/>
        <color theme="1"/>
        <rFont val="Calibri"/>
        <family val="2"/>
        <scheme val="minor"/>
      </rPr>
      <t xml:space="preserve"> 3902 College Ave</t>
    </r>
  </si>
  <si>
    <r>
      <rPr>
        <b/>
        <sz val="10"/>
        <color theme="1"/>
        <rFont val="Calibri"/>
        <family val="2"/>
        <scheme val="minor"/>
      </rPr>
      <t>EMS</t>
    </r>
    <r>
      <rPr>
        <sz val="10"/>
        <color theme="1"/>
        <rFont val="Calibri"/>
        <family val="2"/>
        <scheme val="minor"/>
      </rPr>
      <t xml:space="preserve"> 3902 College Ave STE 2</t>
    </r>
  </si>
  <si>
    <r>
      <rPr>
        <b/>
        <sz val="10"/>
        <color theme="1"/>
        <rFont val="Calibri"/>
        <family val="2"/>
        <scheme val="minor"/>
      </rPr>
      <t>NON DEPARTMENTAL</t>
    </r>
    <r>
      <rPr>
        <sz val="10"/>
        <color theme="1"/>
        <rFont val="Calibri"/>
        <family val="2"/>
        <scheme val="minor"/>
      </rPr>
      <t xml:space="preserve"> PARK GENERATOR 3000 TOWLE PARK RD GENERATOR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</si>
  <si>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Annex 1300 26th St</t>
    </r>
  </si>
  <si>
    <r>
      <rPr>
        <b/>
        <sz val="10"/>
        <color theme="1"/>
        <rFont val="Calibri"/>
        <family val="2"/>
        <scheme val="minor"/>
      </rPr>
      <t>Parks</t>
    </r>
    <r>
      <rPr>
        <sz val="10"/>
        <color theme="1"/>
        <rFont val="Calibri"/>
        <family val="2"/>
        <scheme val="minor"/>
      </rPr>
      <t xml:space="preserve"> Hermleigh Community Cntr 700 Wheat St</t>
    </r>
  </si>
  <si>
    <r>
      <rPr>
        <b/>
        <sz val="10"/>
        <color theme="1"/>
        <rFont val="Calibri"/>
        <family val="2"/>
        <scheme val="minor"/>
      </rPr>
      <t xml:space="preserve"> PCT 4</t>
    </r>
    <r>
      <rPr>
        <sz val="10"/>
        <color theme="1"/>
        <rFont val="Calibri"/>
        <family val="2"/>
        <scheme val="minor"/>
      </rPr>
      <t xml:space="preserve"> 5272 S State Highway 208</t>
    </r>
  </si>
  <si>
    <r>
      <rPr>
        <b/>
        <sz val="10"/>
        <rFont val="Calibri"/>
        <family val="2"/>
        <scheme val="minor"/>
      </rPr>
      <t>Library</t>
    </r>
    <r>
      <rPr>
        <sz val="10"/>
        <rFont val="Calibri"/>
        <family val="2"/>
        <scheme val="minor"/>
      </rPr>
      <t xml:space="preserve"> 1916 23rd St</t>
    </r>
  </si>
  <si>
    <r>
      <rPr>
        <b/>
        <sz val="10"/>
        <color theme="1"/>
        <rFont val="Calibri"/>
        <family val="2"/>
        <scheme val="minor"/>
      </rPr>
      <t>Boys &amp; Girls Club</t>
    </r>
    <r>
      <rPr>
        <sz val="10"/>
        <color theme="1"/>
        <rFont val="Calibri"/>
        <family val="2"/>
        <scheme val="minor"/>
      </rPr>
      <t xml:space="preserve"> 1500 28th St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</si>
  <si>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Scurry County 1806 25th St</t>
    </r>
  </si>
  <si>
    <r>
      <rPr>
        <b/>
        <sz val="10"/>
        <color theme="1"/>
        <rFont val="Calibri"/>
        <family val="2"/>
        <scheme val="minor"/>
      </rPr>
      <t>Adult Probation</t>
    </r>
    <r>
      <rPr>
        <sz val="10"/>
        <color theme="1"/>
        <rFont val="Calibri"/>
        <family val="2"/>
        <scheme val="minor"/>
      </rPr>
      <t xml:space="preserve"> 2511 College Ave</t>
    </r>
  </si>
  <si>
    <r>
      <rPr>
        <b/>
        <sz val="10"/>
        <color theme="1"/>
        <rFont val="Calibri"/>
        <family val="2"/>
        <scheme val="minor"/>
      </rPr>
      <t>Senior Center</t>
    </r>
    <r>
      <rPr>
        <sz val="10"/>
        <color theme="1"/>
        <rFont val="Calibri"/>
        <family val="2"/>
        <scheme val="minor"/>
      </rPr>
      <t xml:space="preserve"> 2605 Ave M</t>
    </r>
  </si>
  <si>
    <r>
      <rPr>
        <b/>
        <sz val="10"/>
        <color theme="1"/>
        <rFont val="Calibri"/>
        <family val="2"/>
        <scheme val="minor"/>
      </rPr>
      <t>Non Departmental</t>
    </r>
    <r>
      <rPr>
        <sz val="10"/>
        <color theme="1"/>
        <rFont val="Calibri"/>
        <family val="2"/>
        <scheme val="minor"/>
      </rPr>
      <t xml:space="preserve"> Child Welfare 2511 College Ave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</si>
  <si>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N COUNTY COURT HOUSE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</si>
  <si>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S COURTHOUSE LAWN</t>
    </r>
  </si>
  <si>
    <r>
      <rPr>
        <b/>
        <sz val="10"/>
        <color theme="1"/>
        <rFont val="Calibri"/>
        <family val="2"/>
        <scheme val="minor"/>
      </rPr>
      <t>Library</t>
    </r>
    <r>
      <rPr>
        <sz val="10"/>
        <color theme="1"/>
        <rFont val="Calibri"/>
        <family val="2"/>
        <scheme val="minor"/>
      </rPr>
      <t xml:space="preserve"> 1918 23rd St</t>
    </r>
  </si>
  <si>
    <t>8/26/21 to 9/23/21</t>
  </si>
  <si>
    <t>8/28/21 to 9/27/21</t>
  </si>
  <si>
    <t>8/31/21 TO 9/28/21</t>
  </si>
  <si>
    <t>8/26/21 TO 9/28/21</t>
  </si>
  <si>
    <t>8/26/21 TO 9/29/21</t>
  </si>
  <si>
    <t>9/1/21 to 10/1/21</t>
  </si>
  <si>
    <t>9/2/21 TO 10/1/21</t>
  </si>
  <si>
    <t>9/2/21 O 10/1/21</t>
  </si>
  <si>
    <t>9/1/21 TO 10/1/21</t>
  </si>
  <si>
    <t>09/10/21 TO 10/10/21</t>
  </si>
  <si>
    <t>9/10/21 TO 10/10/21</t>
  </si>
  <si>
    <t>9/24/21 TO 10/22/21</t>
  </si>
  <si>
    <t>9/24/21 to 10/25/21</t>
  </si>
  <si>
    <t>9/24/21 TO 10/25/21</t>
  </si>
  <si>
    <t>SCURRY COUNTY 'S UTILITY USAGE FOR OCTOBER 2021</t>
  </si>
  <si>
    <t>9/29/21 TO 10/26/21</t>
  </si>
  <si>
    <t>9/28/21 TO 10/26/21</t>
  </si>
  <si>
    <t>9/29/21 TO 10/27/21</t>
  </si>
  <si>
    <t>10/1/21 TO 11/1/21</t>
  </si>
  <si>
    <t>10/01/21 TO 11/1/21</t>
  </si>
  <si>
    <t>10/2/21 TO 11/1/21</t>
  </si>
  <si>
    <t>9/25/21 TO 10/22/21</t>
  </si>
  <si>
    <t>10/10/21 to 11/10/21</t>
  </si>
  <si>
    <t>10/26/21 TO 11/19/21</t>
  </si>
  <si>
    <t>10/23/21 TO 11/19/21</t>
  </si>
  <si>
    <t>10/27/21 TO 11/23/21</t>
  </si>
  <si>
    <t>SCURRY COUNTY 'S UTILITY USAGE FOR NOVEMBER 2021</t>
  </si>
  <si>
    <t>10/28/21 TO 11/30/21</t>
  </si>
  <si>
    <t>10/27/21 TO 11/29/21</t>
  </si>
  <si>
    <t>11/1/21 to 11/30/21</t>
  </si>
  <si>
    <t>8/25/2021 TO 10/25/2021</t>
  </si>
  <si>
    <t>10/27/2021 TO 11/29/2021</t>
  </si>
  <si>
    <t>11/2/21 TO 12/1/21</t>
  </si>
  <si>
    <t>11/01/21 to 12/01/21</t>
  </si>
  <si>
    <t>11/1/21 TO 12/1/21</t>
  </si>
  <si>
    <t>11/10/21 TO 12/10/21</t>
  </si>
  <si>
    <t>11/20/21 TO 12/22/21</t>
  </si>
  <si>
    <t>11/20/21 TO 12/21/21</t>
  </si>
  <si>
    <t>11/24/21 TO 12/27/21</t>
  </si>
  <si>
    <t>11/30/21 TO 12/28/21</t>
  </si>
  <si>
    <t>12/1/21 TO 12/29/21</t>
  </si>
  <si>
    <t>SCURRY COUNTY 'S UTILITY USAGE FOR DECEMBER 2021</t>
  </si>
  <si>
    <t>11/29/2021 TO 12/29/2021</t>
  </si>
  <si>
    <t>11/30/21 TO 1/01/22</t>
  </si>
  <si>
    <t>11/30/21 TO 01/02/22</t>
  </si>
  <si>
    <t>11/30/21 TO 1/02/22</t>
  </si>
  <si>
    <t xml:space="preserve">Road &amp; Bridge Asphalt Heater </t>
  </si>
  <si>
    <t>12/2/21 TO 1/3/22</t>
  </si>
  <si>
    <t>12/01/21 to 01/03/22</t>
  </si>
  <si>
    <t>12/01/21 to 01/01/22</t>
  </si>
  <si>
    <t>12/01/21 TO 01/01/22</t>
  </si>
  <si>
    <t>10/25/21 TO 12/25/21</t>
  </si>
  <si>
    <t>12/10/21 TO 01/10/22</t>
  </si>
  <si>
    <t>SCURRY COUNTY 'S UTILITY USAGE FOR JANUARY 2022</t>
  </si>
  <si>
    <t>12/23/21 TO 1/25/22</t>
  </si>
  <si>
    <t>12/22/21 to 1/24/22</t>
  </si>
  <si>
    <t>12/31/21 to 1/27/22</t>
  </si>
  <si>
    <t>12/28/21 to 1/26/22</t>
  </si>
  <si>
    <t>12/30/21 TO 1/327/22</t>
  </si>
  <si>
    <t>12/29/21 TO 1/27/22</t>
  </si>
  <si>
    <t>12/29/21 TO 1/28/22</t>
  </si>
  <si>
    <t>1/4/22 TO 2/1/22</t>
  </si>
  <si>
    <t>1/3/22 TO 2/1/22</t>
  </si>
  <si>
    <t>1/1/22 TO 2/1/22</t>
  </si>
  <si>
    <t>SCURRY COUNTY 'S UTILITY USAGE FOR FEBRUARY 2022</t>
  </si>
  <si>
    <t>1/10/22 to 2/10/22</t>
  </si>
  <si>
    <t>1/25/22 to 2/21/22</t>
  </si>
  <si>
    <t>1/26/22 to 2/22/22</t>
  </si>
  <si>
    <t>1/25/22 TO 2/22/22</t>
  </si>
  <si>
    <t>1/27/22 to 2/25/22</t>
  </si>
  <si>
    <t>1/29/22 to 2/25/22</t>
  </si>
  <si>
    <t>1/25/22 to 2/22/22</t>
  </si>
  <si>
    <t>2/1/22 to 3/1/22</t>
  </si>
  <si>
    <t>1/28/22 TO 2/28/22</t>
  </si>
  <si>
    <t>2/2/22 TO 3/1/22</t>
  </si>
  <si>
    <t>2/10/22 to 3/10/22</t>
  </si>
  <si>
    <t>2/23/22 TO 3/22/22</t>
  </si>
  <si>
    <t>2/26/22 TO 3/24/22</t>
  </si>
  <si>
    <t>2/22/22 TO 3/23/22</t>
  </si>
  <si>
    <t>SCURRY COUNTY 'S UTILITY USAGE FOR MARCH 2022</t>
  </si>
  <si>
    <t>12/25/21 to 2/25/22</t>
  </si>
  <si>
    <t>2/23/22 TO 3/23/22</t>
  </si>
  <si>
    <t>2/26/22 TO 3/28/22</t>
  </si>
  <si>
    <t>3/1/22 TO 4/1/22</t>
  </si>
  <si>
    <t>2/25/22 TO 3/30/22</t>
  </si>
  <si>
    <t>3/1/22 to 3/29/22</t>
  </si>
  <si>
    <t>3/2/22 TO 4/1/22</t>
  </si>
  <si>
    <t>3/10/22 TO 4/10/22</t>
  </si>
  <si>
    <t>3/29/22 TO 4/26/22</t>
  </si>
  <si>
    <t>3/24/22 TO 4/22/22</t>
  </si>
  <si>
    <t>3/30/22 TO 4/28/22</t>
  </si>
  <si>
    <t>3/25/22 TO 4/27/22</t>
  </si>
  <si>
    <t>3/23/22 TO 4/22/22</t>
  </si>
  <si>
    <t>SCURRY COUNTY 'S UTILITY USAGE FOR APRIL 2022</t>
  </si>
  <si>
    <t>4/1/22 TO 5/1/22</t>
  </si>
  <si>
    <t>4/1/22 TO 5/2/22</t>
  </si>
  <si>
    <t>4/2/22 to 5/2/22</t>
  </si>
  <si>
    <t>3/23/22 to4/25/22</t>
  </si>
  <si>
    <t>4/1/22 to 5/1/22</t>
  </si>
  <si>
    <t>4/10/22 TO 5/10/22</t>
  </si>
  <si>
    <t>4/23/22 to 5/24/22</t>
  </si>
  <si>
    <t>SCURRY COUNTY 'S UTILITY USAGE FOR MAY 2022</t>
  </si>
  <si>
    <t>4/26/22 TO 5/23/22</t>
  </si>
  <si>
    <t>4/27/22 TO 5/25/22</t>
  </si>
  <si>
    <t>4/28/22 to 5/27/22</t>
  </si>
  <si>
    <t>4/23/22 TO 5/23/22</t>
  </si>
  <si>
    <t>4/29/22 TO 5/26/22</t>
  </si>
  <si>
    <t>5/3/22 to 6/1/22</t>
  </si>
  <si>
    <t>5/2/22 TO 6/1/22</t>
  </si>
  <si>
    <t>5/10/22 to 6/10/22</t>
  </si>
  <si>
    <t>5/25/22 to 6/22/22</t>
  </si>
  <si>
    <t>5/25/22 TO 6/21/22</t>
  </si>
  <si>
    <t>5/24/22 to 6/22/22</t>
  </si>
  <si>
    <t>5/26/22 to 6/27/22</t>
  </si>
  <si>
    <t>5/28/22 to 6/24/22</t>
  </si>
  <si>
    <t>5/27/22 to 6/28/22</t>
  </si>
  <si>
    <t>SCURRY COUNTY 'S UTILITY USAGE FOR JUNE 2022</t>
  </si>
  <si>
    <t>6/1/22 TO 7/1/22</t>
  </si>
  <si>
    <t>6/2/22 TO 7/1/22</t>
  </si>
  <si>
    <t>6/10/22 to 7/10/22</t>
  </si>
  <si>
    <t>4/25/22 to 6/25/22</t>
  </si>
  <si>
    <t>6/22/22 to 7/25/22</t>
  </si>
  <si>
    <t>SCURRY COUNTY 'S UTILITY USAGE FOR JULY 2022</t>
  </si>
  <si>
    <t>6/23/22 TO 7/22/22</t>
  </si>
  <si>
    <t>6/25/22 to 7/27/22</t>
  </si>
  <si>
    <t>6/28/22 to 7/26/22</t>
  </si>
  <si>
    <t>6/23/22 TO 7/25/22</t>
  </si>
  <si>
    <t>6/23/22 to 7/22/22</t>
  </si>
  <si>
    <t>7/1/22 TO 8/1/22</t>
  </si>
  <si>
    <t>6/29/22 to 7/27/22</t>
  </si>
  <si>
    <t>7/2/22 TO 8/1/22</t>
  </si>
  <si>
    <t>7/10/22 TO 8/10/22</t>
  </si>
  <si>
    <t>7/23/22 TO 8/24/22</t>
  </si>
  <si>
    <t>7/26/22 TO 8/22/22</t>
  </si>
  <si>
    <t>7/26/22 TO 8/19/22</t>
  </si>
  <si>
    <t>SCURRY COUNTY 'S UTILITY USAGE FOR AUGUST 2022</t>
  </si>
  <si>
    <t>7/28/22 to 8/24/22</t>
  </si>
  <si>
    <t>7/27/22 to 8/26/22</t>
  </si>
  <si>
    <t>7/28/22 to 8/29/22</t>
  </si>
  <si>
    <t>8/01/22 TO 9/01/22</t>
  </si>
  <si>
    <t>CORIX UTILITIES</t>
  </si>
  <si>
    <t>7/28/22 TO 8/24/22</t>
  </si>
  <si>
    <t>8/01/22 to 9/01/22</t>
  </si>
  <si>
    <t>8/2/22 to 9/1/22</t>
  </si>
  <si>
    <t>8/1/22 TO 9/3/22</t>
  </si>
  <si>
    <t>8/10/22 to 9/10/22</t>
  </si>
  <si>
    <t>8/23/22 to 9/27/22</t>
  </si>
  <si>
    <t>8/25/22 to 9/23/22</t>
  </si>
  <si>
    <t>8/20/22 to 9/26/22</t>
  </si>
  <si>
    <t>SCURRY COUNTY 'S UTILITY USAGE FOR SEPTEMBER 2022</t>
  </si>
  <si>
    <t>8/27/22 to 9/28/22</t>
  </si>
  <si>
    <t>8/25/22 to 9/29/22</t>
  </si>
  <si>
    <t>8/30/22 to 9/28/22</t>
  </si>
  <si>
    <t>9/2/22 TO 10/3/22</t>
  </si>
  <si>
    <t>9/1/22 to 10/1/22</t>
  </si>
  <si>
    <t>8/25/22 TO 9/26/22</t>
  </si>
  <si>
    <t>9/3/22 to 10/4/22</t>
  </si>
  <si>
    <t>9/10/22 TO 10/10/22</t>
  </si>
  <si>
    <t>9/24/22 to 10/24/22</t>
  </si>
  <si>
    <t>9/27/22 to 10/21/22</t>
  </si>
  <si>
    <t>9/30/22 to 10/26/22</t>
  </si>
  <si>
    <t>9/29/22 to 10/26/22</t>
  </si>
  <si>
    <t>9/28/22 to 10/24/22</t>
  </si>
  <si>
    <t>9/29/22 to 10/27/22</t>
  </si>
  <si>
    <t>SCURRY COUNTY 'S UTILITY USAGE FOR OCTOBER 2022</t>
  </si>
  <si>
    <t>10/4/22 to 11/1/22</t>
  </si>
  <si>
    <t>9/26/22 TO 10/26/22</t>
  </si>
  <si>
    <t>10/01/22 to 11/01/22</t>
  </si>
  <si>
    <t>10/10/22 TO 11/10/22</t>
  </si>
  <si>
    <t>10/25/22 TO 11/21/22</t>
  </si>
  <si>
    <t>10/4/22 to 11/4/22</t>
  </si>
  <si>
    <t>10/22/22 TO 11/21/22</t>
  </si>
  <si>
    <t>10/25/22 TO 11/22/22</t>
  </si>
  <si>
    <t>SCURRY COUNTY 'S UTILITY USAGE FOR NOVEMBER 2022</t>
  </si>
  <si>
    <t>10/27/22 to 11/28/22</t>
  </si>
  <si>
    <t>10/27/22 to 11/29/22</t>
  </si>
  <si>
    <t>10/28/22 to 11/29/22</t>
  </si>
  <si>
    <t>10/27/22 TO 11/29/22</t>
  </si>
  <si>
    <t>10/25/22 to 11/22/22</t>
  </si>
  <si>
    <t>11/2/22 TO 12/2/22</t>
  </si>
  <si>
    <t>11/1/22 TO 12/1/22</t>
  </si>
  <si>
    <t>11/4/22 to 12/1/22</t>
  </si>
  <si>
    <t>11/10/22 to 12/10/22</t>
  </si>
  <si>
    <t>11/22/22 TO 12/20/22</t>
  </si>
  <si>
    <t>11/23/22 TO 12/21/22</t>
  </si>
  <si>
    <t>11/22/22 TO 12/21/22</t>
  </si>
  <si>
    <t>SCURRY COUNTY 'S UTILITY USAGE FOR DECEMBER 2022</t>
  </si>
  <si>
    <t>11/29/22 to 12/27/22</t>
  </si>
  <si>
    <t>11/30/22 to 12/27/22</t>
  </si>
  <si>
    <t>11/30/22 to 12/28/22</t>
  </si>
  <si>
    <t>12/3/22 to 1/3/23</t>
  </si>
  <si>
    <t>12/1/22 TO 01/01/23</t>
  </si>
  <si>
    <t>11/23/22 TO 12/26/22</t>
  </si>
  <si>
    <t>12/10/22 TO 01/10/23</t>
  </si>
  <si>
    <t>12/1/22 TO 1/3/23</t>
  </si>
  <si>
    <t>12/21/22 to 1/25/23</t>
  </si>
  <si>
    <t>12/22/22 to 1/25/23</t>
  </si>
  <si>
    <t>12/28/22 to 1/26/23</t>
  </si>
  <si>
    <t>12/22/22 to 1/26/23</t>
  </si>
  <si>
    <t>12/29/22 to 01/27/23</t>
  </si>
  <si>
    <t>SCURRY COUNTY 'S UTILITY USAGE FOR JANUARY 2023</t>
  </si>
  <si>
    <t>12/22/22 TO 1/25/23</t>
  </si>
  <si>
    <t>01/01/2023 TO 02/01/23</t>
  </si>
  <si>
    <t>12/26/22 TO 1/25/23</t>
  </si>
  <si>
    <t>1/4/23 TO 2/2/23</t>
  </si>
  <si>
    <t>1/1/23 TO 2/1/23</t>
  </si>
  <si>
    <t>1/3/23 TO 2/2/23</t>
  </si>
  <si>
    <t>01/10/23 to 02/10/23</t>
  </si>
  <si>
    <t>1/26/23 to 2/20/23</t>
  </si>
  <si>
    <t>1/26/23 to 2/21/23</t>
  </si>
  <si>
    <t>1/27/23 to 2/22/23</t>
  </si>
  <si>
    <t>1/27/23 to 2/23/23</t>
  </si>
  <si>
    <t>1/28/23 to 2/24/23</t>
  </si>
  <si>
    <t>SCURRY COUNTY 'S UTILITY USAGE FOR FEBRUARY 2023</t>
  </si>
  <si>
    <t>2/1/23 TO 3/1/23</t>
  </si>
  <si>
    <t>2/3/23 TO 3/1/23</t>
  </si>
  <si>
    <t>2/10/23 TO 3/10/23</t>
  </si>
  <si>
    <t>12/25/2022 TO 2/25/23</t>
  </si>
  <si>
    <t>1/25/23 to 2/24/23</t>
  </si>
  <si>
    <t>2/21/23 to 3/23/23</t>
  </si>
  <si>
    <t>2/22/23 to 3/22/23</t>
  </si>
  <si>
    <t>2/23/23 to 3/24/23</t>
  </si>
  <si>
    <t>SCURRY COUNTY 'S UTILITY USAGE FOR MARCH 2023</t>
  </si>
  <si>
    <t>2/24/23 to 3/27/23</t>
  </si>
  <si>
    <t>2/24/23 to 3/28/23</t>
  </si>
  <si>
    <t>2/25/23 to 3/29/23</t>
  </si>
  <si>
    <t>2/22/23 TO 3/24/23</t>
  </si>
  <si>
    <t>3/1/23 TO 4/1/23</t>
  </si>
  <si>
    <t>3/2/23 TO 4/3/23</t>
  </si>
  <si>
    <t>2/24/23 to 3/24/23</t>
  </si>
  <si>
    <t>3/10/23 TO 4/10/23</t>
  </si>
  <si>
    <t>3/24/23 to 4/20/23</t>
  </si>
  <si>
    <t>3/25/23 to 4/22/23</t>
  </si>
  <si>
    <t>3/28/23 to 4/26/23</t>
  </si>
  <si>
    <t>3/29/23 to 4/25/23</t>
  </si>
  <si>
    <t>3/23/23 to 4/22/23</t>
  </si>
  <si>
    <t>3/30/23 to 4/27/23</t>
  </si>
  <si>
    <t>3/25/23 TO 4/24/23</t>
  </si>
  <si>
    <t>SCURRY COUNTY 'S UTILITY USAGE FOR APRIL 2023</t>
  </si>
  <si>
    <t>4/1/23 TO 5/1/23</t>
  </si>
  <si>
    <t>4/4/23 TO 5/1/23</t>
  </si>
  <si>
    <t>3/24/23 TO 4/25/23</t>
  </si>
  <si>
    <t>4/10/2023 to 5/10/2023</t>
  </si>
  <si>
    <t>4/21/23 to 5/22/23</t>
  </si>
  <si>
    <t>SCURRY COUNTY 'S UTILITY USAGE FOR MAY 2023</t>
  </si>
  <si>
    <t>4/23/23 to 5/23/23</t>
  </si>
  <si>
    <t>2/25/2023 to 4/25/2023</t>
  </si>
  <si>
    <t>4/27/23 to 5/24/23</t>
  </si>
  <si>
    <t>4/23/23 to 5/22/23</t>
  </si>
  <si>
    <t>4/26/23 to 5/24/23</t>
  </si>
  <si>
    <t>4/25/23 to 5/22/23</t>
  </si>
  <si>
    <t>4/28/23 to 5/25/23</t>
  </si>
  <si>
    <t>4/26/23 to 5/25/23</t>
  </si>
  <si>
    <t>4/25/23 TO 5/23/23</t>
  </si>
  <si>
    <t>5/1/23 to 6/1/23</t>
  </si>
  <si>
    <t>5/2/23 to 6/1/23</t>
  </si>
  <si>
    <t>05/10/23 to 06/10/23</t>
  </si>
  <si>
    <t>5/23/23 to 6/21/23</t>
  </si>
  <si>
    <t>5/23/23 to 6/23/23</t>
  </si>
  <si>
    <t>5/24/23 to 6/26/23</t>
  </si>
  <si>
    <t>SCURRY COUNTY 'S UTILITY USAGE FOR JUNE 2023</t>
  </si>
  <si>
    <t>5/25/23 to 6/26/23</t>
  </si>
  <si>
    <t>5/23/23 to 6/26/23</t>
  </si>
  <si>
    <t>5/26/23 to 6/26/23</t>
  </si>
  <si>
    <t>5/26/23 TO 6/27/23</t>
  </si>
  <si>
    <t>5/23/23 to 6/22/23</t>
  </si>
  <si>
    <t>6/1/23 TO 6/30/23</t>
  </si>
  <si>
    <t>6/2/23 to 7/3/23</t>
  </si>
  <si>
    <t>6/10/23 to 7/10/23</t>
  </si>
  <si>
    <t>6/22/23 to 7/21/23</t>
  </si>
  <si>
    <t>6/27/23 to 7/24/23</t>
  </si>
  <si>
    <t>4/25/23 TO 6/25/23</t>
  </si>
  <si>
    <t>6/24/23 to 7/24/23</t>
  </si>
  <si>
    <t>6/27/23 to 7/26/23</t>
  </si>
  <si>
    <t>6/1/23 to 7/1/23</t>
  </si>
  <si>
    <t>6/27/23 TO 7/26/23</t>
  </si>
  <si>
    <t>6/30/23 TO 8/1/23</t>
  </si>
  <si>
    <t>6/28/23 to 7/27/23</t>
  </si>
  <si>
    <t>7/4/23 to 8/1/23</t>
  </si>
  <si>
    <t>6/22/23 TO 7/24/23</t>
  </si>
  <si>
    <t>7/25/2023 TO 8/23/2023</t>
  </si>
  <si>
    <t>7/27/2023 TO 8/24/2023</t>
  </si>
  <si>
    <t>SCURRY COUNTY 'S UTILITY USAGE FOR AUGUST 2023</t>
  </si>
  <si>
    <t>7/28/2023 TO 8/25/2023</t>
  </si>
  <si>
    <t>7/22/2023 TO 8/21/2023</t>
  </si>
  <si>
    <t>7/10/2023 TO 8/10/2023</t>
  </si>
  <si>
    <t>7/24/2023 TO 8/24/2023</t>
  </si>
  <si>
    <t>8/02/2023 TO 9/01/2023</t>
  </si>
  <si>
    <t>8/01/2023 TO 9/01/2023</t>
  </si>
  <si>
    <t>KWH</t>
  </si>
  <si>
    <t>8/10/2023 TO 9/10/2023</t>
  </si>
  <si>
    <t>6/25/2023 TO 8/25/2023</t>
  </si>
  <si>
    <t>8/10/2023 TO 9/09/2023</t>
  </si>
  <si>
    <t>8/11/2023 TO 9/11/2023</t>
  </si>
  <si>
    <t>8/02/2023 TO 8/30/2023</t>
  </si>
  <si>
    <t>8/09/2023 TO 9/07/2023</t>
  </si>
  <si>
    <t>8/03/2023 TO 8/31/2023</t>
  </si>
  <si>
    <t>8/07/2023 TO 9/05/2023</t>
  </si>
  <si>
    <t>159068134LG</t>
  </si>
  <si>
    <t>7011940656LE</t>
  </si>
  <si>
    <t>8/08/2023 TO 9/06/2023</t>
  </si>
  <si>
    <t>8/22/2023 TO 9/21/2023</t>
  </si>
  <si>
    <t>8/25/2023 TO 9/26/2023</t>
  </si>
  <si>
    <t>7/25/2023 TO 8/22/2023</t>
  </si>
  <si>
    <t>SCURRY COUNTY 'S UTILITY USAGE FOR SEPTEMBER 2023</t>
  </si>
  <si>
    <t>8/24/2023 TO 9/22/2023</t>
  </si>
  <si>
    <t>8/23/2023 TO 9/22/2023</t>
  </si>
  <si>
    <t>8/25/2023 TO 9/27/2023</t>
  </si>
  <si>
    <t>9/01/2023 TO 10/01/2023</t>
  </si>
  <si>
    <t>8/26/2023 TO 9/27/2023</t>
  </si>
  <si>
    <t>8/24/2023 TO 9/26/2023</t>
  </si>
  <si>
    <t>9/02/2023 TO 10/03/2023</t>
  </si>
  <si>
    <t>9/10/2023 TO 10/10/2023</t>
  </si>
  <si>
    <t>9/11/2023 TO 10/10/2023</t>
  </si>
  <si>
    <t>9/10/2023 TO 10/11/2023</t>
  </si>
  <si>
    <t>9/12/2023 TO 10/11/2023</t>
  </si>
  <si>
    <t>8/31/2023 TO 10/01/2023</t>
  </si>
  <si>
    <t>9/08/2023 TO 10/09/2023</t>
  </si>
  <si>
    <t>9/01/2023 TO 10/02/2023</t>
  </si>
  <si>
    <t>9/06/2023 TO 10/05/2023</t>
  </si>
  <si>
    <t>9/07/2023 TO 10/08/2023</t>
  </si>
  <si>
    <t>9/23/2023 TO 10/23/2023</t>
  </si>
  <si>
    <t>9/27/2023 TO 10/25/2023</t>
  </si>
  <si>
    <t>9/28/2023 TO 10/25/2023</t>
  </si>
  <si>
    <t>9/22/2023 TO 10/20/2023</t>
  </si>
  <si>
    <t xml:space="preserve">9/28/2023 TO 10/27/2023 </t>
  </si>
  <si>
    <t>9/23/2023 TO 10/24/2023</t>
  </si>
  <si>
    <t>10/01/23 TO 10/31/23</t>
  </si>
  <si>
    <t>Parks LL WEST FLD PRESS BOX&amp;LIGHTS</t>
  </si>
  <si>
    <t>10/01/23 TO 11/01/23</t>
  </si>
  <si>
    <t>10/01/23 TO 11/02/23</t>
  </si>
  <si>
    <t>NON DEPARTMENTAL FLUVANNA STREET Lights</t>
  </si>
  <si>
    <t>NON DEPARTMENTAL Weigh Station-s of Herm</t>
  </si>
  <si>
    <t>9/26/2023 TO 10/26/2023</t>
  </si>
  <si>
    <t xml:space="preserve">10/01/23 TO 11/01/23 </t>
  </si>
  <si>
    <t>10/04/2023 TO 11/01/2023</t>
  </si>
  <si>
    <t>8/25/2023 to 10/25/2023</t>
  </si>
  <si>
    <t>10/11/23 TO 11/08/23</t>
  </si>
  <si>
    <t>10/12/23 TO 11/09/23</t>
  </si>
  <si>
    <t>10/02/23 TO 10/31/23</t>
  </si>
  <si>
    <t>10/10/23 TO 11/07/23</t>
  </si>
  <si>
    <t>10/03/23 TO 11/01/23</t>
  </si>
  <si>
    <t>10/06/23 TO 11/05/23</t>
  </si>
  <si>
    <t>10/09/23 TO 11/06/23</t>
  </si>
  <si>
    <t>10/21/23 TO 11/21/23</t>
  </si>
  <si>
    <t>10/10/23 TO 11/10/23</t>
  </si>
  <si>
    <t>10/24/23 TO 11/22/23</t>
  </si>
  <si>
    <t>10/26/23 TO 11/27/23</t>
  </si>
  <si>
    <t>10/25/23 TO 11/27/23</t>
  </si>
  <si>
    <t>10/24/23 TO 11/21/23</t>
  </si>
  <si>
    <t>10/26/23 TO 11/28/23</t>
  </si>
  <si>
    <t>SCURRY COUNTY 'S UTILITY USAGE FOR OCTOBER 2023</t>
  </si>
  <si>
    <t>SCURRY COUNTY 'S UTILITY USAGE FOR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</si>
</sst>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[$$-409]* #,##0.00_);_([$$-409]* \(#,##0.00\);_([$$-409]* &quot;-&quot;??_);_(@_)"/>
  </numFmts>
  <fonts count="5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mbria"/>
      <family val="1"/>
    </font>
    <font>
      <sz val="12"/>
      <color theme="1"/>
      <name val="Cambria"/>
      <family val="1"/>
    </font>
    <font>
      <sz val="16"/>
      <color theme="1"/>
      <name val="Cambria"/>
      <family val="1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Times New Roman"/>
      <family val="1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 tint="4.9989318521683403E-2"/>
      <name val="Calibri"/>
      <family val="2"/>
      <scheme val="minor"/>
    </font>
    <font>
      <sz val="10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" tint="4.9989318521683403E-2"/>
      <name val="Calibri"/>
      <family val="2"/>
    </font>
    <font>
      <b/>
      <i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</font>
    <font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u/>
      <sz val="10"/>
      <color theme="1"/>
      <name val="Calibri"/>
      <family val="2"/>
    </font>
    <font>
      <b/>
      <i/>
      <u/>
      <sz val="14"/>
      <color theme="1"/>
      <name val="Calibri"/>
      <family val="2"/>
    </font>
    <font>
      <b/>
      <i/>
      <u/>
      <sz val="11"/>
      <color theme="1"/>
      <name val="Calibri"/>
      <family val="2"/>
    </font>
    <font>
      <sz val="11"/>
      <color rgb="FF0061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0" fillId="18" borderId="0" applyNumberFormat="0" applyBorder="0" applyAlignment="0" applyProtection="0"/>
  </cellStyleXfs>
  <cellXfs count="1091"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1" fillId="0" borderId="0" xfId="0" applyFont="1" applyAlignment="1">
      <alignment wrapText="1"/>
    </xf>
    <xf numFmtId="0" fontId="1" fillId="0" borderId="0" xfId="0" applyFont="1"/>
    <xf numFmtId="0" fontId="1" fillId="0" borderId="0" xfId="0" applyFont="1" applyFill="1"/>
    <xf numFmtId="44" fontId="1" fillId="0" borderId="0" xfId="1" applyFont="1" applyFill="1"/>
    <xf numFmtId="44" fontId="0" fillId="0" borderId="0" xfId="1" applyFont="1" applyFill="1"/>
    <xf numFmtId="44" fontId="1" fillId="0" borderId="0" xfId="1" applyFont="1"/>
    <xf numFmtId="44" fontId="0" fillId="0" borderId="0" xfId="1" applyFont="1"/>
    <xf numFmtId="1" fontId="3" fillId="0" borderId="0" xfId="0" applyNumberFormat="1" applyFont="1"/>
    <xf numFmtId="1" fontId="3" fillId="0" borderId="0" xfId="0" applyNumberFormat="1" applyFont="1" applyAlignment="1">
      <alignment wrapText="1"/>
    </xf>
    <xf numFmtId="1" fontId="4" fillId="0" borderId="0" xfId="0" applyNumberFormat="1" applyFont="1"/>
    <xf numFmtId="0" fontId="0" fillId="0" borderId="0" xfId="0" applyFill="1" applyAlignment="1">
      <alignment wrapText="1"/>
    </xf>
    <xf numFmtId="1" fontId="4" fillId="0" borderId="0" xfId="0" applyNumberFormat="1" applyFont="1" applyFill="1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44" fontId="0" fillId="2" borderId="0" xfId="1" applyFont="1" applyFill="1"/>
    <xf numFmtId="1" fontId="4" fillId="2" borderId="0" xfId="0" applyNumberFormat="1" applyFont="1" applyFill="1" applyAlignment="1">
      <alignment wrapText="1"/>
    </xf>
    <xf numFmtId="1" fontId="4" fillId="0" borderId="0" xfId="2" applyNumberFormat="1" applyFont="1" applyFill="1" applyAlignment="1">
      <alignment wrapText="1"/>
    </xf>
    <xf numFmtId="0" fontId="1" fillId="0" borderId="0" xfId="0" applyFont="1" applyFill="1" applyAlignment="1">
      <alignment wrapText="1"/>
    </xf>
    <xf numFmtId="1" fontId="3" fillId="0" borderId="0" xfId="0" applyNumberFormat="1" applyFont="1" applyFill="1" applyAlignment="1">
      <alignment wrapText="1"/>
    </xf>
    <xf numFmtId="49" fontId="4" fillId="0" borderId="0" xfId="0" applyNumberFormat="1" applyFont="1" applyFill="1" applyAlignment="1">
      <alignment wrapText="1"/>
    </xf>
    <xf numFmtId="1" fontId="3" fillId="0" borderId="0" xfId="0" applyNumberFormat="1" applyFont="1" applyFill="1"/>
    <xf numFmtId="1" fontId="4" fillId="0" borderId="0" xfId="0" applyNumberFormat="1" applyFont="1" applyFill="1"/>
    <xf numFmtId="1" fontId="1" fillId="0" borderId="0" xfId="0" applyNumberFormat="1" applyFont="1"/>
    <xf numFmtId="1" fontId="0" fillId="0" borderId="0" xfId="0" applyNumberFormat="1" applyFont="1" applyFill="1"/>
    <xf numFmtId="1" fontId="0" fillId="0" borderId="0" xfId="0" applyNumberFormat="1" applyFont="1" applyFill="1" applyAlignment="1">
      <alignment wrapText="1"/>
    </xf>
    <xf numFmtId="0" fontId="0" fillId="0" borderId="0" xfId="0" applyFont="1" applyFill="1"/>
    <xf numFmtId="1" fontId="2" fillId="0" borderId="0" xfId="2" applyNumberFormat="1" applyFont="1" applyFill="1" applyAlignment="1">
      <alignment wrapText="1"/>
    </xf>
    <xf numFmtId="49" fontId="0" fillId="0" borderId="0" xfId="0" applyNumberFormat="1" applyFont="1" applyFill="1" applyAlignment="1">
      <alignment wrapText="1"/>
    </xf>
    <xf numFmtId="14" fontId="0" fillId="0" borderId="0" xfId="0" applyNumberFormat="1" applyFill="1"/>
    <xf numFmtId="0" fontId="5" fillId="0" borderId="0" xfId="0" applyFont="1"/>
    <xf numFmtId="0" fontId="6" fillId="0" borderId="4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5" xfId="0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64" fontId="6" fillId="0" borderId="5" xfId="0" applyNumberFormat="1" applyFont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2" fontId="1" fillId="0" borderId="0" xfId="0" applyNumberFormat="1" applyFont="1" applyFill="1"/>
    <xf numFmtId="2" fontId="0" fillId="0" borderId="0" xfId="0" applyNumberFormat="1" applyFill="1"/>
    <xf numFmtId="2" fontId="0" fillId="0" borderId="0" xfId="1" applyNumberFormat="1" applyFont="1" applyFill="1"/>
    <xf numFmtId="2" fontId="1" fillId="0" borderId="0" xfId="0" applyNumberFormat="1" applyFont="1"/>
    <xf numFmtId="2" fontId="0" fillId="0" borderId="0" xfId="0" applyNumberForma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49" fontId="4" fillId="2" borderId="0" xfId="0" applyNumberFormat="1" applyFont="1" applyFill="1" applyAlignment="1">
      <alignment wrapText="1"/>
    </xf>
    <xf numFmtId="1" fontId="4" fillId="2" borderId="0" xfId="0" applyNumberFormat="1" applyFont="1" applyFill="1"/>
    <xf numFmtId="14" fontId="0" fillId="2" borderId="0" xfId="0" applyNumberFormat="1" applyFill="1"/>
    <xf numFmtId="1" fontId="4" fillId="2" borderId="0" xfId="2" applyNumberFormat="1" applyFont="1" applyFill="1" applyAlignment="1">
      <alignment wrapText="1"/>
    </xf>
    <xf numFmtId="1" fontId="0" fillId="2" borderId="0" xfId="0" applyNumberFormat="1" applyFont="1" applyFill="1" applyAlignment="1">
      <alignment wrapText="1"/>
    </xf>
    <xf numFmtId="2" fontId="0" fillId="2" borderId="0" xfId="0" applyNumberFormat="1" applyFill="1"/>
    <xf numFmtId="0" fontId="0" fillId="3" borderId="0" xfId="0" applyFill="1" applyAlignment="1">
      <alignment wrapText="1"/>
    </xf>
    <xf numFmtId="1" fontId="4" fillId="3" borderId="0" xfId="0" applyNumberFormat="1" applyFont="1" applyFill="1" applyAlignment="1">
      <alignment wrapText="1"/>
    </xf>
    <xf numFmtId="0" fontId="0" fillId="3" borderId="0" xfId="0" applyFill="1"/>
    <xf numFmtId="44" fontId="0" fillId="3" borderId="0" xfId="1" applyFont="1" applyFill="1"/>
    <xf numFmtId="44" fontId="0" fillId="0" borderId="0" xfId="0" applyNumberFormat="1"/>
    <xf numFmtId="44" fontId="0" fillId="0" borderId="0" xfId="0" applyNumberFormat="1" applyFill="1"/>
    <xf numFmtId="2" fontId="0" fillId="3" borderId="0" xfId="0" applyNumberFormat="1" applyFill="1"/>
    <xf numFmtId="14" fontId="0" fillId="3" borderId="0" xfId="0" applyNumberFormat="1" applyFill="1"/>
    <xf numFmtId="49" fontId="4" fillId="3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1" fillId="2" borderId="0" xfId="0" applyFont="1" applyFill="1"/>
    <xf numFmtId="44" fontId="1" fillId="2" borderId="0" xfId="1" applyFont="1" applyFill="1"/>
    <xf numFmtId="2" fontId="1" fillId="2" borderId="0" xfId="0" applyNumberFormat="1" applyFont="1" applyFill="1"/>
    <xf numFmtId="1" fontId="0" fillId="3" borderId="0" xfId="0" applyNumberFormat="1" applyFont="1" applyFill="1" applyAlignment="1">
      <alignment wrapText="1"/>
    </xf>
    <xf numFmtId="1" fontId="4" fillId="3" borderId="0" xfId="2" applyNumberFormat="1" applyFont="1" applyFill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" fillId="3" borderId="0" xfId="0" applyFont="1" applyFill="1" applyAlignment="1">
      <alignment wrapText="1"/>
    </xf>
    <xf numFmtId="1" fontId="3" fillId="3" borderId="0" xfId="0" applyNumberFormat="1" applyFont="1" applyFill="1" applyAlignment="1">
      <alignment wrapText="1"/>
    </xf>
    <xf numFmtId="0" fontId="1" fillId="3" borderId="0" xfId="0" applyFont="1" applyFill="1"/>
    <xf numFmtId="44" fontId="1" fillId="3" borderId="0" xfId="1" applyFont="1" applyFill="1"/>
    <xf numFmtId="2" fontId="1" fillId="3" borderId="0" xfId="0" applyNumberFormat="1" applyFont="1" applyFill="1"/>
    <xf numFmtId="1" fontId="4" fillId="3" borderId="0" xfId="0" applyNumberFormat="1" applyFont="1" applyFill="1"/>
    <xf numFmtId="2" fontId="0" fillId="0" borderId="0" xfId="0" applyNumberFormat="1" applyFont="1" applyFill="1"/>
    <xf numFmtId="0" fontId="0" fillId="0" borderId="0" xfId="0" applyFont="1" applyFill="1" applyAlignment="1">
      <alignment wrapText="1"/>
    </xf>
    <xf numFmtId="14" fontId="0" fillId="0" borderId="0" xfId="0" applyNumberFormat="1" applyFont="1" applyFill="1"/>
    <xf numFmtId="44" fontId="0" fillId="0" borderId="0" xfId="0" applyNumberFormat="1" applyFont="1" applyFill="1"/>
    <xf numFmtId="0" fontId="0" fillId="3" borderId="0" xfId="0" applyFont="1" applyFill="1" applyAlignment="1">
      <alignment wrapText="1"/>
    </xf>
    <xf numFmtId="0" fontId="0" fillId="3" borderId="0" xfId="0" applyFont="1" applyFill="1"/>
    <xf numFmtId="2" fontId="0" fillId="3" borderId="0" xfId="0" applyNumberFormat="1" applyFont="1" applyFill="1"/>
    <xf numFmtId="0" fontId="0" fillId="2" borderId="0" xfId="0" applyFont="1" applyFill="1" applyAlignment="1">
      <alignment wrapText="1"/>
    </xf>
    <xf numFmtId="0" fontId="0" fillId="2" borderId="0" xfId="0" applyFont="1" applyFill="1"/>
    <xf numFmtId="2" fontId="0" fillId="2" borderId="0" xfId="0" applyNumberFormat="1" applyFont="1" applyFill="1"/>
    <xf numFmtId="14" fontId="0" fillId="3" borderId="0" xfId="0" applyNumberFormat="1" applyFont="1" applyFill="1"/>
    <xf numFmtId="14" fontId="0" fillId="2" borderId="0" xfId="0" applyNumberFormat="1" applyFont="1" applyFill="1"/>
    <xf numFmtId="8" fontId="0" fillId="2" borderId="0" xfId="1" applyNumberFormat="1" applyFont="1" applyFill="1"/>
    <xf numFmtId="0" fontId="0" fillId="4" borderId="0" xfId="0" applyFill="1"/>
    <xf numFmtId="0" fontId="0" fillId="5" borderId="9" xfId="0" applyFont="1" applyFill="1" applyBorder="1" applyAlignment="1">
      <alignment wrapText="1"/>
    </xf>
    <xf numFmtId="1" fontId="4" fillId="5" borderId="9" xfId="0" applyNumberFormat="1" applyFont="1" applyFill="1" applyBorder="1" applyAlignment="1">
      <alignment wrapText="1"/>
    </xf>
    <xf numFmtId="0" fontId="0" fillId="5" borderId="9" xfId="0" applyFont="1" applyFill="1" applyBorder="1"/>
    <xf numFmtId="44" fontId="0" fillId="5" borderId="9" xfId="1" applyFont="1" applyFill="1" applyBorder="1"/>
    <xf numFmtId="2" fontId="0" fillId="5" borderId="9" xfId="0" applyNumberFormat="1" applyFont="1" applyFill="1" applyBorder="1"/>
    <xf numFmtId="0" fontId="1" fillId="5" borderId="9" xfId="0" applyFont="1" applyFill="1" applyBorder="1" applyAlignment="1">
      <alignment wrapText="1"/>
    </xf>
    <xf numFmtId="1" fontId="3" fillId="5" borderId="9" xfId="0" applyNumberFormat="1" applyFont="1" applyFill="1" applyBorder="1" applyAlignment="1">
      <alignment wrapText="1"/>
    </xf>
    <xf numFmtId="14" fontId="0" fillId="5" borderId="9" xfId="0" applyNumberFormat="1" applyFont="1" applyFill="1" applyBorder="1"/>
    <xf numFmtId="0" fontId="1" fillId="5" borderId="9" xfId="0" applyFont="1" applyFill="1" applyBorder="1"/>
    <xf numFmtId="44" fontId="1" fillId="5" borderId="9" xfId="1" applyFont="1" applyFill="1" applyBorder="1"/>
    <xf numFmtId="2" fontId="1" fillId="5" borderId="9" xfId="0" applyNumberFormat="1" applyFont="1" applyFill="1" applyBorder="1"/>
    <xf numFmtId="1" fontId="3" fillId="5" borderId="9" xfId="0" applyNumberFormat="1" applyFont="1" applyFill="1" applyBorder="1"/>
    <xf numFmtId="44" fontId="0" fillId="5" borderId="9" xfId="0" applyNumberFormat="1" applyFont="1" applyFill="1" applyBorder="1"/>
    <xf numFmtId="0" fontId="0" fillId="2" borderId="9" xfId="0" applyFont="1" applyFill="1" applyBorder="1" applyAlignment="1">
      <alignment wrapText="1"/>
    </xf>
    <xf numFmtId="1" fontId="4" fillId="2" borderId="9" xfId="0" applyNumberFormat="1" applyFont="1" applyFill="1" applyBorder="1" applyAlignment="1">
      <alignment wrapText="1"/>
    </xf>
    <xf numFmtId="0" fontId="0" fillId="2" borderId="9" xfId="0" applyFill="1" applyBorder="1"/>
    <xf numFmtId="44" fontId="0" fillId="2" borderId="9" xfId="1" applyFont="1" applyFill="1" applyBorder="1"/>
    <xf numFmtId="2" fontId="0" fillId="2" borderId="9" xfId="0" applyNumberFormat="1" applyFont="1" applyFill="1" applyBorder="1"/>
    <xf numFmtId="0" fontId="0" fillId="2" borderId="9" xfId="0" applyFont="1" applyFill="1" applyBorder="1"/>
    <xf numFmtId="0" fontId="0" fillId="4" borderId="9" xfId="0" applyFont="1" applyFill="1" applyBorder="1" applyAlignment="1">
      <alignment wrapText="1"/>
    </xf>
    <xf numFmtId="1" fontId="4" fillId="4" borderId="9" xfId="0" applyNumberFormat="1" applyFont="1" applyFill="1" applyBorder="1" applyAlignment="1">
      <alignment wrapText="1"/>
    </xf>
    <xf numFmtId="0" fontId="0" fillId="4" borderId="9" xfId="0" applyFont="1" applyFill="1" applyBorder="1"/>
    <xf numFmtId="44" fontId="0" fillId="4" borderId="9" xfId="1" applyFont="1" applyFill="1" applyBorder="1"/>
    <xf numFmtId="2" fontId="0" fillId="4" borderId="9" xfId="0" applyNumberFormat="1" applyFont="1" applyFill="1" applyBorder="1"/>
    <xf numFmtId="0" fontId="0" fillId="4" borderId="9" xfId="0" applyFill="1" applyBorder="1"/>
    <xf numFmtId="0" fontId="1" fillId="4" borderId="9" xfId="0" applyFont="1" applyFill="1" applyBorder="1" applyAlignment="1">
      <alignment wrapText="1"/>
    </xf>
    <xf numFmtId="1" fontId="3" fillId="4" borderId="9" xfId="0" applyNumberFormat="1" applyFont="1" applyFill="1" applyBorder="1" applyAlignment="1">
      <alignment wrapText="1"/>
    </xf>
    <xf numFmtId="0" fontId="1" fillId="4" borderId="9" xfId="0" applyFont="1" applyFill="1" applyBorder="1"/>
    <xf numFmtId="44" fontId="1" fillId="4" borderId="9" xfId="1" applyFont="1" applyFill="1" applyBorder="1"/>
    <xf numFmtId="2" fontId="1" fillId="4" borderId="9" xfId="0" applyNumberFormat="1" applyFont="1" applyFill="1" applyBorder="1"/>
    <xf numFmtId="14" fontId="0" fillId="4" borderId="9" xfId="0" applyNumberFormat="1" applyFill="1" applyBorder="1"/>
    <xf numFmtId="1" fontId="4" fillId="4" borderId="9" xfId="0" applyNumberFormat="1" applyFont="1" applyFill="1" applyBorder="1"/>
    <xf numFmtId="14" fontId="0" fillId="4" borderId="9" xfId="0" applyNumberFormat="1" applyFont="1" applyFill="1" applyBorder="1"/>
    <xf numFmtId="1" fontId="0" fillId="4" borderId="9" xfId="0" applyNumberFormat="1" applyFont="1" applyFill="1" applyBorder="1" applyAlignment="1">
      <alignment wrapText="1"/>
    </xf>
    <xf numFmtId="14" fontId="0" fillId="2" borderId="9" xfId="0" applyNumberFormat="1" applyFill="1" applyBorder="1"/>
    <xf numFmtId="8" fontId="0" fillId="2" borderId="9" xfId="1" applyNumberFormat="1" applyFont="1" applyFill="1" applyBorder="1"/>
    <xf numFmtId="1" fontId="0" fillId="2" borderId="9" xfId="0" applyNumberFormat="1" applyFont="1" applyFill="1" applyBorder="1" applyAlignment="1">
      <alignment wrapText="1"/>
    </xf>
    <xf numFmtId="49" fontId="4" fillId="4" borderId="9" xfId="0" applyNumberFormat="1" applyFont="1" applyFill="1" applyBorder="1" applyAlignment="1">
      <alignment wrapText="1"/>
    </xf>
    <xf numFmtId="1" fontId="4" fillId="2" borderId="9" xfId="2" applyNumberFormat="1" applyFont="1" applyFill="1" applyBorder="1" applyAlignment="1">
      <alignment wrapText="1"/>
    </xf>
    <xf numFmtId="0" fontId="0" fillId="2" borderId="9" xfId="0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0" xfId="0" applyBorder="1"/>
    <xf numFmtId="0" fontId="8" fillId="2" borderId="0" xfId="0" applyFont="1" applyFill="1" applyBorder="1"/>
    <xf numFmtId="0" fontId="0" fillId="2" borderId="0" xfId="0" applyFill="1" applyBorder="1"/>
    <xf numFmtId="0" fontId="0" fillId="5" borderId="0" xfId="0" applyFill="1" applyBorder="1"/>
    <xf numFmtId="0" fontId="0" fillId="6" borderId="0" xfId="0" applyFill="1" applyBorder="1"/>
    <xf numFmtId="0" fontId="0" fillId="0" borderId="9" xfId="0" applyBorder="1"/>
    <xf numFmtId="0" fontId="8" fillId="2" borderId="9" xfId="0" applyFont="1" applyFill="1" applyBorder="1" applyAlignment="1">
      <alignment wrapText="1"/>
    </xf>
    <xf numFmtId="1" fontId="9" fillId="2" borderId="9" xfId="0" applyNumberFormat="1" applyFont="1" applyFill="1" applyBorder="1" applyAlignment="1">
      <alignment wrapText="1"/>
    </xf>
    <xf numFmtId="0" fontId="8" fillId="2" borderId="9" xfId="0" applyFont="1" applyFill="1" applyBorder="1"/>
    <xf numFmtId="44" fontId="8" fillId="2" borderId="9" xfId="1" applyFont="1" applyFill="1" applyBorder="1"/>
    <xf numFmtId="2" fontId="8" fillId="2" borderId="9" xfId="0" applyNumberFormat="1" applyFont="1" applyFill="1" applyBorder="1"/>
    <xf numFmtId="0" fontId="0" fillId="5" borderId="9" xfId="0" applyFill="1" applyBorder="1"/>
    <xf numFmtId="49" fontId="4" fillId="2" borderId="9" xfId="0" applyNumberFormat="1" applyFont="1" applyFill="1" applyBorder="1" applyAlignment="1">
      <alignment wrapText="1"/>
    </xf>
    <xf numFmtId="0" fontId="0" fillId="6" borderId="9" xfId="0" applyFont="1" applyFill="1" applyBorder="1" applyAlignment="1">
      <alignment wrapText="1"/>
    </xf>
    <xf numFmtId="1" fontId="4" fillId="6" borderId="9" xfId="0" applyNumberFormat="1" applyFont="1" applyFill="1" applyBorder="1" applyAlignment="1">
      <alignment wrapText="1"/>
    </xf>
    <xf numFmtId="0" fontId="0" fillId="6" borderId="9" xfId="0" applyFont="1" applyFill="1" applyBorder="1"/>
    <xf numFmtId="44" fontId="0" fillId="6" borderId="9" xfId="1" applyFont="1" applyFill="1" applyBorder="1"/>
    <xf numFmtId="2" fontId="0" fillId="6" borderId="9" xfId="0" applyNumberFormat="1" applyFont="1" applyFill="1" applyBorder="1"/>
    <xf numFmtId="0" fontId="0" fillId="6" borderId="9" xfId="0" applyFill="1" applyBorder="1"/>
    <xf numFmtId="0" fontId="11" fillId="2" borderId="9" xfId="0" applyFont="1" applyFill="1" applyBorder="1" applyAlignment="1">
      <alignment wrapText="1"/>
    </xf>
    <xf numFmtId="1" fontId="3" fillId="2" borderId="9" xfId="0" applyNumberFormat="1" applyFont="1" applyFill="1" applyBorder="1" applyAlignment="1">
      <alignment wrapText="1"/>
    </xf>
    <xf numFmtId="0" fontId="1" fillId="2" borderId="9" xfId="0" applyFont="1" applyFill="1" applyBorder="1"/>
    <xf numFmtId="44" fontId="1" fillId="2" borderId="9" xfId="1" applyFont="1" applyFill="1" applyBorder="1"/>
    <xf numFmtId="2" fontId="1" fillId="2" borderId="9" xfId="0" applyNumberFormat="1" applyFont="1" applyFill="1" applyBorder="1"/>
    <xf numFmtId="1" fontId="4" fillId="5" borderId="9" xfId="0" applyNumberFormat="1" applyFont="1" applyFill="1" applyBorder="1"/>
    <xf numFmtId="14" fontId="0" fillId="2" borderId="9" xfId="0" applyNumberFormat="1" applyFont="1" applyFill="1" applyBorder="1"/>
    <xf numFmtId="1" fontId="0" fillId="6" borderId="9" xfId="0" applyNumberFormat="1" applyFont="1" applyFill="1" applyBorder="1" applyAlignment="1">
      <alignment wrapText="1"/>
    </xf>
    <xf numFmtId="14" fontId="0" fillId="6" borderId="9" xfId="0" applyNumberForma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" fillId="0" borderId="9" xfId="0" applyFont="1" applyFill="1" applyBorder="1"/>
    <xf numFmtId="1" fontId="3" fillId="0" borderId="9" xfId="0" applyNumberFormat="1" applyFont="1" applyFill="1" applyBorder="1"/>
    <xf numFmtId="44" fontId="1" fillId="0" borderId="9" xfId="1" applyFont="1" applyFill="1" applyBorder="1"/>
    <xf numFmtId="2" fontId="1" fillId="0" borderId="9" xfId="0" applyNumberFormat="1" applyFont="1" applyFill="1" applyBorder="1"/>
    <xf numFmtId="0" fontId="1" fillId="0" borderId="9" xfId="0" applyFont="1" applyFill="1" applyBorder="1" applyAlignment="1">
      <alignment wrapText="1"/>
    </xf>
    <xf numFmtId="0" fontId="0" fillId="0" borderId="9" xfId="0" applyFill="1" applyBorder="1"/>
    <xf numFmtId="0" fontId="0" fillId="0" borderId="0" xfId="0" applyFill="1" applyBorder="1"/>
    <xf numFmtId="0" fontId="0" fillId="0" borderId="9" xfId="0" applyFont="1" applyFill="1" applyBorder="1"/>
    <xf numFmtId="44" fontId="0" fillId="0" borderId="9" xfId="1" applyFont="1" applyFill="1" applyBorder="1"/>
    <xf numFmtId="2" fontId="0" fillId="0" borderId="9" xfId="0" applyNumberFormat="1" applyFont="1" applyFill="1" applyBorder="1"/>
    <xf numFmtId="0" fontId="0" fillId="0" borderId="9" xfId="0" applyFont="1" applyFill="1" applyBorder="1" applyAlignment="1">
      <alignment wrapText="1"/>
    </xf>
    <xf numFmtId="1" fontId="4" fillId="0" borderId="9" xfId="0" applyNumberFormat="1" applyFont="1" applyFill="1" applyBorder="1" applyAlignment="1">
      <alignment wrapText="1"/>
    </xf>
    <xf numFmtId="14" fontId="0" fillId="0" borderId="9" xfId="0" applyNumberFormat="1" applyFill="1" applyBorder="1"/>
    <xf numFmtId="16" fontId="0" fillId="2" borderId="9" xfId="0" applyNumberFormat="1" applyFill="1" applyBorder="1"/>
    <xf numFmtId="0" fontId="1" fillId="7" borderId="9" xfId="0" applyFont="1" applyFill="1" applyBorder="1" applyAlignment="1">
      <alignment wrapText="1"/>
    </xf>
    <xf numFmtId="1" fontId="3" fillId="7" borderId="9" xfId="0" applyNumberFormat="1" applyFont="1" applyFill="1" applyBorder="1" applyAlignment="1">
      <alignment wrapText="1"/>
    </xf>
    <xf numFmtId="0" fontId="0" fillId="7" borderId="9" xfId="0" applyFont="1" applyFill="1" applyBorder="1"/>
    <xf numFmtId="44" fontId="0" fillId="7" borderId="9" xfId="1" applyFont="1" applyFill="1" applyBorder="1"/>
    <xf numFmtId="2" fontId="0" fillId="7" borderId="9" xfId="0" applyNumberFormat="1" applyFont="1" applyFill="1" applyBorder="1"/>
    <xf numFmtId="0" fontId="0" fillId="7" borderId="9" xfId="0" applyFont="1" applyFill="1" applyBorder="1" applyAlignment="1">
      <alignment wrapText="1"/>
    </xf>
    <xf numFmtId="0" fontId="0" fillId="7" borderId="9" xfId="0" applyFill="1" applyBorder="1"/>
    <xf numFmtId="0" fontId="0" fillId="7" borderId="0" xfId="0" applyFill="1" applyBorder="1"/>
    <xf numFmtId="14" fontId="1" fillId="2" borderId="9" xfId="0" applyNumberFormat="1" applyFont="1" applyFill="1" applyBorder="1"/>
    <xf numFmtId="1" fontId="4" fillId="2" borderId="9" xfId="0" applyNumberFormat="1" applyFont="1" applyFill="1" applyBorder="1"/>
    <xf numFmtId="0" fontId="1" fillId="7" borderId="9" xfId="0" applyFont="1" applyFill="1" applyBorder="1"/>
    <xf numFmtId="1" fontId="3" fillId="7" borderId="9" xfId="0" applyNumberFormat="1" applyFont="1" applyFill="1" applyBorder="1"/>
    <xf numFmtId="1" fontId="4" fillId="7" borderId="9" xfId="0" applyNumberFormat="1" applyFont="1" applyFill="1" applyBorder="1" applyAlignment="1">
      <alignment wrapText="1"/>
    </xf>
    <xf numFmtId="14" fontId="0" fillId="7" borderId="9" xfId="0" applyNumberFormat="1" applyFont="1" applyFill="1" applyBorder="1"/>
    <xf numFmtId="0" fontId="12" fillId="7" borderId="9" xfId="0" applyFont="1" applyFill="1" applyBorder="1" applyAlignment="1">
      <alignment wrapText="1"/>
    </xf>
    <xf numFmtId="1" fontId="13" fillId="7" borderId="9" xfId="0" applyNumberFormat="1" applyFont="1" applyFill="1" applyBorder="1" applyAlignment="1">
      <alignment wrapText="1"/>
    </xf>
    <xf numFmtId="0" fontId="8" fillId="7" borderId="9" xfId="0" applyFont="1" applyFill="1" applyBorder="1"/>
    <xf numFmtId="44" fontId="8" fillId="7" borderId="9" xfId="1" applyFont="1" applyFill="1" applyBorder="1"/>
    <xf numFmtId="2" fontId="8" fillId="7" borderId="9" xfId="0" applyNumberFormat="1" applyFont="1" applyFill="1" applyBorder="1"/>
    <xf numFmtId="0" fontId="8" fillId="7" borderId="9" xfId="0" applyFont="1" applyFill="1" applyBorder="1" applyAlignment="1">
      <alignment wrapText="1"/>
    </xf>
    <xf numFmtId="0" fontId="8" fillId="7" borderId="0" xfId="0" applyFont="1" applyFill="1" applyBorder="1"/>
    <xf numFmtId="0" fontId="8" fillId="8" borderId="9" xfId="0" applyFont="1" applyFill="1" applyBorder="1" applyAlignment="1">
      <alignment wrapText="1"/>
    </xf>
    <xf numFmtId="1" fontId="9" fillId="8" borderId="9" xfId="0" applyNumberFormat="1" applyFont="1" applyFill="1" applyBorder="1" applyAlignment="1">
      <alignment wrapText="1"/>
    </xf>
    <xf numFmtId="0" fontId="8" fillId="8" borderId="9" xfId="0" applyFont="1" applyFill="1" applyBorder="1"/>
    <xf numFmtId="44" fontId="8" fillId="8" borderId="9" xfId="1" applyFont="1" applyFill="1" applyBorder="1"/>
    <xf numFmtId="2" fontId="8" fillId="8" borderId="9" xfId="0" applyNumberFormat="1" applyFont="1" applyFill="1" applyBorder="1"/>
    <xf numFmtId="0" fontId="8" fillId="8" borderId="0" xfId="0" applyFont="1" applyFill="1" applyBorder="1"/>
    <xf numFmtId="0" fontId="0" fillId="8" borderId="9" xfId="0" applyFont="1" applyFill="1" applyBorder="1" applyAlignment="1">
      <alignment wrapText="1"/>
    </xf>
    <xf numFmtId="1" fontId="4" fillId="8" borderId="9" xfId="0" applyNumberFormat="1" applyFont="1" applyFill="1" applyBorder="1" applyAlignment="1">
      <alignment wrapText="1"/>
    </xf>
    <xf numFmtId="0" fontId="0" fillId="8" borderId="9" xfId="0" applyFill="1" applyBorder="1"/>
    <xf numFmtId="44" fontId="0" fillId="8" borderId="9" xfId="1" applyFont="1" applyFill="1" applyBorder="1"/>
    <xf numFmtId="2" fontId="0" fillId="8" borderId="9" xfId="0" applyNumberFormat="1" applyFont="1" applyFill="1" applyBorder="1"/>
    <xf numFmtId="0" fontId="0" fillId="8" borderId="9" xfId="0" applyFont="1" applyFill="1" applyBorder="1"/>
    <xf numFmtId="0" fontId="0" fillId="8" borderId="0" xfId="0" applyFill="1" applyBorder="1"/>
    <xf numFmtId="1" fontId="4" fillId="6" borderId="9" xfId="2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3" fillId="0" borderId="9" xfId="0" applyNumberFormat="1" applyFont="1" applyFill="1" applyBorder="1" applyAlignment="1">
      <alignment wrapText="1"/>
    </xf>
    <xf numFmtId="14" fontId="0" fillId="0" borderId="9" xfId="0" applyNumberFormat="1" applyFont="1" applyFill="1" applyBorder="1"/>
    <xf numFmtId="44" fontId="0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9" xfId="0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9" xfId="0" applyFont="1" applyFill="1" applyBorder="1"/>
    <xf numFmtId="1" fontId="14" fillId="0" borderId="9" xfId="0" applyNumberFormat="1" applyFont="1" applyFill="1" applyBorder="1"/>
    <xf numFmtId="44" fontId="14" fillId="0" borderId="9" xfId="1" applyFont="1" applyFill="1" applyBorder="1"/>
    <xf numFmtId="2" fontId="14" fillId="0" borderId="9" xfId="0" applyNumberFormat="1" applyFont="1" applyFill="1" applyBorder="1"/>
    <xf numFmtId="0" fontId="14" fillId="0" borderId="9" xfId="0" applyFont="1" applyFill="1" applyBorder="1" applyAlignment="1">
      <alignment wrapText="1"/>
    </xf>
    <xf numFmtId="0" fontId="15" fillId="0" borderId="9" xfId="0" applyFont="1" applyFill="1" applyBorder="1"/>
    <xf numFmtId="0" fontId="15" fillId="0" borderId="0" xfId="0" applyFont="1" applyFill="1" applyBorder="1"/>
    <xf numFmtId="0" fontId="14" fillId="7" borderId="9" xfId="0" applyFont="1" applyFill="1" applyBorder="1"/>
    <xf numFmtId="1" fontId="14" fillId="7" borderId="9" xfId="0" applyNumberFormat="1" applyFont="1" applyFill="1" applyBorder="1"/>
    <xf numFmtId="0" fontId="15" fillId="7" borderId="9" xfId="0" applyFont="1" applyFill="1" applyBorder="1"/>
    <xf numFmtId="44" fontId="15" fillId="7" borderId="9" xfId="1" applyFont="1" applyFill="1" applyBorder="1"/>
    <xf numFmtId="2" fontId="15" fillId="7" borderId="9" xfId="0" applyNumberFormat="1" applyFont="1" applyFill="1" applyBorder="1"/>
    <xf numFmtId="0" fontId="15" fillId="7" borderId="9" xfId="0" applyFont="1" applyFill="1" applyBorder="1" applyAlignment="1">
      <alignment wrapText="1"/>
    </xf>
    <xf numFmtId="0" fontId="15" fillId="7" borderId="0" xfId="0" applyFont="1" applyFill="1" applyBorder="1"/>
    <xf numFmtId="0" fontId="16" fillId="2" borderId="9" xfId="0" applyFont="1" applyFill="1" applyBorder="1" applyAlignment="1">
      <alignment wrapText="1"/>
    </xf>
    <xf numFmtId="1" fontId="16" fillId="2" borderId="9" xfId="0" applyNumberFormat="1" applyFont="1" applyFill="1" applyBorder="1" applyAlignment="1">
      <alignment wrapText="1"/>
    </xf>
    <xf numFmtId="0" fontId="16" fillId="2" borderId="9" xfId="0" applyFont="1" applyFill="1" applyBorder="1"/>
    <xf numFmtId="44" fontId="16" fillId="2" borderId="9" xfId="1" applyFont="1" applyFill="1" applyBorder="1"/>
    <xf numFmtId="2" fontId="16" fillId="2" borderId="9" xfId="0" applyNumberFormat="1" applyFont="1" applyFill="1" applyBorder="1"/>
    <xf numFmtId="0" fontId="16" fillId="2" borderId="0" xfId="0" applyFont="1" applyFill="1" applyBorder="1"/>
    <xf numFmtId="0" fontId="15" fillId="2" borderId="9" xfId="0" applyFont="1" applyFill="1" applyBorder="1" applyAlignment="1">
      <alignment wrapText="1"/>
    </xf>
    <xf numFmtId="1" fontId="15" fillId="2" borderId="9" xfId="0" applyNumberFormat="1" applyFont="1" applyFill="1" applyBorder="1" applyAlignment="1">
      <alignment wrapText="1"/>
    </xf>
    <xf numFmtId="0" fontId="15" fillId="2" borderId="9" xfId="0" applyFont="1" applyFill="1" applyBorder="1"/>
    <xf numFmtId="44" fontId="15" fillId="2" borderId="9" xfId="1" applyFont="1" applyFill="1" applyBorder="1"/>
    <xf numFmtId="2" fontId="15" fillId="2" borderId="9" xfId="0" applyNumberFormat="1" applyFont="1" applyFill="1" applyBorder="1"/>
    <xf numFmtId="0" fontId="15" fillId="2" borderId="0" xfId="0" applyFont="1" applyFill="1" applyBorder="1"/>
    <xf numFmtId="14" fontId="15" fillId="2" borderId="9" xfId="0" applyNumberFormat="1" applyFont="1" applyFill="1" applyBorder="1"/>
    <xf numFmtId="0" fontId="15" fillId="0" borderId="9" xfId="0" applyFont="1" applyFill="1" applyBorder="1" applyAlignment="1">
      <alignment wrapText="1"/>
    </xf>
    <xf numFmtId="1" fontId="15" fillId="0" borderId="9" xfId="0" applyNumberFormat="1" applyFont="1" applyFill="1" applyBorder="1" applyAlignment="1">
      <alignment wrapText="1"/>
    </xf>
    <xf numFmtId="44" fontId="15" fillId="0" borderId="9" xfId="1" applyFont="1" applyFill="1" applyBorder="1"/>
    <xf numFmtId="2" fontId="15" fillId="0" borderId="9" xfId="0" applyNumberFormat="1" applyFont="1" applyFill="1" applyBorder="1"/>
    <xf numFmtId="16" fontId="15" fillId="2" borderId="9" xfId="0" applyNumberFormat="1" applyFont="1" applyFill="1" applyBorder="1"/>
    <xf numFmtId="0" fontId="17" fillId="7" borderId="9" xfId="0" applyFont="1" applyFill="1" applyBorder="1" applyAlignment="1">
      <alignment wrapText="1"/>
    </xf>
    <xf numFmtId="1" fontId="17" fillId="7" borderId="9" xfId="0" applyNumberFormat="1" applyFont="1" applyFill="1" applyBorder="1" applyAlignment="1">
      <alignment wrapText="1"/>
    </xf>
    <xf numFmtId="0" fontId="16" fillId="7" borderId="9" xfId="0" applyFont="1" applyFill="1" applyBorder="1"/>
    <xf numFmtId="44" fontId="16" fillId="7" borderId="9" xfId="1" applyFont="1" applyFill="1" applyBorder="1"/>
    <xf numFmtId="2" fontId="16" fillId="7" borderId="9" xfId="0" applyNumberFormat="1" applyFont="1" applyFill="1" applyBorder="1"/>
    <xf numFmtId="0" fontId="16" fillId="7" borderId="9" xfId="0" applyFont="1" applyFill="1" applyBorder="1" applyAlignment="1">
      <alignment wrapText="1"/>
    </xf>
    <xf numFmtId="0" fontId="16" fillId="7" borderId="0" xfId="0" applyFont="1" applyFill="1" applyBorder="1"/>
    <xf numFmtId="1" fontId="15" fillId="2" borderId="9" xfId="2" applyNumberFormat="1" applyFont="1" applyFill="1" applyBorder="1" applyAlignment="1">
      <alignment wrapText="1"/>
    </xf>
    <xf numFmtId="0" fontId="14" fillId="7" borderId="9" xfId="0" applyFont="1" applyFill="1" applyBorder="1" applyAlignment="1">
      <alignment wrapText="1"/>
    </xf>
    <xf numFmtId="1" fontId="14" fillId="7" borderId="9" xfId="0" applyNumberFormat="1" applyFont="1" applyFill="1" applyBorder="1" applyAlignment="1">
      <alignment wrapText="1"/>
    </xf>
    <xf numFmtId="49" fontId="15" fillId="2" borderId="9" xfId="0" applyNumberFormat="1" applyFont="1" applyFill="1" applyBorder="1" applyAlignment="1">
      <alignment wrapText="1"/>
    </xf>
    <xf numFmtId="0" fontId="18" fillId="2" borderId="9" xfId="0" applyFont="1" applyFill="1" applyBorder="1" applyAlignment="1">
      <alignment wrapText="1"/>
    </xf>
    <xf numFmtId="1" fontId="14" fillId="2" borderId="9" xfId="0" applyNumberFormat="1" applyFont="1" applyFill="1" applyBorder="1" applyAlignment="1">
      <alignment wrapText="1"/>
    </xf>
    <xf numFmtId="14" fontId="14" fillId="2" borderId="9" xfId="0" applyNumberFormat="1" applyFont="1" applyFill="1" applyBorder="1"/>
    <xf numFmtId="44" fontId="14" fillId="2" borderId="9" xfId="1" applyFont="1" applyFill="1" applyBorder="1"/>
    <xf numFmtId="2" fontId="14" fillId="2" borderId="9" xfId="0" applyNumberFormat="1" applyFont="1" applyFill="1" applyBorder="1"/>
    <xf numFmtId="0" fontId="14" fillId="2" borderId="9" xfId="0" applyFont="1" applyFill="1" applyBorder="1"/>
    <xf numFmtId="14" fontId="15" fillId="0" borderId="9" xfId="0" applyNumberFormat="1" applyFont="1" applyFill="1" applyBorder="1"/>
    <xf numFmtId="1" fontId="14" fillId="0" borderId="9" xfId="0" applyNumberFormat="1" applyFont="1" applyFill="1" applyBorder="1" applyAlignment="1">
      <alignment wrapText="1"/>
    </xf>
    <xf numFmtId="1" fontId="15" fillId="2" borderId="9" xfId="0" applyNumberFormat="1" applyFont="1" applyFill="1" applyBorder="1"/>
    <xf numFmtId="44" fontId="15" fillId="0" borderId="9" xfId="0" applyNumberFormat="1" applyFont="1" applyFill="1" applyBorder="1"/>
    <xf numFmtId="0" fontId="15" fillId="5" borderId="9" xfId="0" applyFont="1" applyFill="1" applyBorder="1"/>
    <xf numFmtId="2" fontId="15" fillId="5" borderId="9" xfId="0" applyNumberFormat="1" applyFont="1" applyFill="1" applyBorder="1"/>
    <xf numFmtId="0" fontId="15" fillId="5" borderId="0" xfId="0" applyFont="1" applyFill="1" applyBorder="1"/>
    <xf numFmtId="0" fontId="15" fillId="0" borderId="9" xfId="0" applyFont="1" applyBorder="1"/>
    <xf numFmtId="0" fontId="15" fillId="0" borderId="0" xfId="0" applyFont="1" applyBorder="1"/>
    <xf numFmtId="1" fontId="15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5" fillId="7" borderId="9" xfId="0" applyNumberFormat="1" applyFont="1" applyFill="1" applyBorder="1" applyAlignment="1">
      <alignment wrapText="1"/>
    </xf>
    <xf numFmtId="14" fontId="15" fillId="7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9" borderId="9" xfId="0" applyFont="1" applyFill="1" applyBorder="1" applyAlignment="1">
      <alignment wrapText="1"/>
    </xf>
    <xf numFmtId="1" fontId="15" fillId="9" borderId="9" xfId="0" applyNumberFormat="1" applyFont="1" applyFill="1" applyBorder="1" applyAlignment="1">
      <alignment wrapText="1"/>
    </xf>
    <xf numFmtId="0" fontId="15" fillId="9" borderId="9" xfId="0" applyFont="1" applyFill="1" applyBorder="1"/>
    <xf numFmtId="44" fontId="15" fillId="9" borderId="9" xfId="1" applyFont="1" applyFill="1" applyBorder="1"/>
    <xf numFmtId="2" fontId="15" fillId="9" borderId="9" xfId="0" applyNumberFormat="1" applyFont="1" applyFill="1" applyBorder="1"/>
    <xf numFmtId="0" fontId="15" fillId="9" borderId="0" xfId="0" applyFont="1" applyFill="1" applyBorder="1"/>
    <xf numFmtId="0" fontId="0" fillId="9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0" borderId="9" xfId="0" applyFont="1" applyFill="1" applyBorder="1" applyAlignment="1">
      <alignment wrapText="1"/>
    </xf>
    <xf numFmtId="1" fontId="15" fillId="10" borderId="9" xfId="0" applyNumberFormat="1" applyFont="1" applyFill="1" applyBorder="1" applyAlignment="1">
      <alignment wrapText="1"/>
    </xf>
    <xf numFmtId="14" fontId="15" fillId="10" borderId="9" xfId="0" applyNumberFormat="1" applyFont="1" applyFill="1" applyBorder="1"/>
    <xf numFmtId="44" fontId="15" fillId="10" borderId="9" xfId="1" applyFont="1" applyFill="1" applyBorder="1"/>
    <xf numFmtId="2" fontId="15" fillId="10" borderId="9" xfId="0" applyNumberFormat="1" applyFont="1" applyFill="1" applyBorder="1"/>
    <xf numFmtId="0" fontId="15" fillId="10" borderId="9" xfId="0" applyFont="1" applyFill="1" applyBorder="1"/>
    <xf numFmtId="0" fontId="15" fillId="10" borderId="0" xfId="0" applyFont="1" applyFill="1" applyBorder="1"/>
    <xf numFmtId="0" fontId="0" fillId="10" borderId="0" xfId="0" applyFill="1" applyBorder="1"/>
    <xf numFmtId="0" fontId="16" fillId="0" borderId="9" xfId="0" applyFont="1" applyFill="1" applyBorder="1" applyAlignment="1">
      <alignment wrapText="1"/>
    </xf>
    <xf numFmtId="1" fontId="16" fillId="0" borderId="9" xfId="0" applyNumberFormat="1" applyFont="1" applyFill="1" applyBorder="1" applyAlignment="1">
      <alignment wrapText="1"/>
    </xf>
    <xf numFmtId="0" fontId="16" fillId="0" borderId="9" xfId="0" applyFont="1" applyFill="1" applyBorder="1"/>
    <xf numFmtId="44" fontId="16" fillId="0" borderId="9" xfId="1" applyFont="1" applyFill="1" applyBorder="1"/>
    <xf numFmtId="2" fontId="16" fillId="0" borderId="9" xfId="0" applyNumberFormat="1" applyFont="1" applyFill="1" applyBorder="1"/>
    <xf numFmtId="0" fontId="16" fillId="0" borderId="0" xfId="0" applyFont="1" applyFill="1" applyBorder="1"/>
    <xf numFmtId="0" fontId="8" fillId="0" borderId="0" xfId="0" applyFont="1" applyFill="1" applyBorder="1"/>
    <xf numFmtId="49" fontId="15" fillId="0" borderId="9" xfId="0" applyNumberFormat="1" applyFont="1" applyFill="1" applyBorder="1" applyAlignment="1">
      <alignment wrapText="1"/>
    </xf>
    <xf numFmtId="0" fontId="1" fillId="7" borderId="0" xfId="0" applyFont="1" applyFill="1" applyAlignment="1">
      <alignment wrapText="1"/>
    </xf>
    <xf numFmtId="1" fontId="0" fillId="7" borderId="0" xfId="0" applyNumberFormat="1" applyFont="1" applyFill="1" applyAlignment="1">
      <alignment wrapText="1"/>
    </xf>
    <xf numFmtId="0" fontId="0" fillId="7" borderId="0" xfId="0" applyFill="1"/>
    <xf numFmtId="44" fontId="0" fillId="7" borderId="0" xfId="1" applyFont="1" applyFill="1"/>
    <xf numFmtId="2" fontId="0" fillId="7" borderId="0" xfId="0" applyNumberFormat="1" applyFill="1"/>
    <xf numFmtId="0" fontId="0" fillId="7" borderId="0" xfId="0" applyFill="1" applyAlignment="1">
      <alignment wrapText="1"/>
    </xf>
    <xf numFmtId="0" fontId="1" fillId="7" borderId="0" xfId="0" applyFont="1" applyFill="1"/>
    <xf numFmtId="1" fontId="0" fillId="7" borderId="0" xfId="0" applyNumberFormat="1" applyFont="1" applyFill="1"/>
    <xf numFmtId="1" fontId="3" fillId="7" borderId="0" xfId="0" applyNumberFormat="1" applyFont="1" applyFill="1"/>
    <xf numFmtId="1" fontId="3" fillId="7" borderId="0" xfId="0" applyNumberFormat="1" applyFont="1" applyFill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9" fillId="2" borderId="9" xfId="0" applyFont="1" applyFill="1" applyBorder="1" applyAlignment="1">
      <alignment wrapText="1"/>
    </xf>
    <xf numFmtId="1" fontId="19" fillId="2" borderId="9" xfId="0" applyNumberFormat="1" applyFont="1" applyFill="1" applyBorder="1" applyAlignment="1">
      <alignment wrapText="1"/>
    </xf>
    <xf numFmtId="0" fontId="19" fillId="2" borderId="9" xfId="0" applyFont="1" applyFill="1" applyBorder="1"/>
    <xf numFmtId="44" fontId="19" fillId="2" borderId="9" xfId="1" applyFont="1" applyFill="1" applyBorder="1"/>
    <xf numFmtId="2" fontId="19" fillId="2" borderId="9" xfId="0" applyNumberFormat="1" applyFont="1" applyFill="1" applyBorder="1"/>
    <xf numFmtId="0" fontId="19" fillId="2" borderId="0" xfId="0" applyFont="1" applyFill="1" applyBorder="1"/>
    <xf numFmtId="0" fontId="10" fillId="2" borderId="0" xfId="0" applyFont="1" applyFill="1" applyBorder="1"/>
    <xf numFmtId="0" fontId="15" fillId="11" borderId="9" xfId="0" applyFont="1" applyFill="1" applyBorder="1" applyAlignment="1">
      <alignment wrapText="1"/>
    </xf>
    <xf numFmtId="1" fontId="15" fillId="11" borderId="9" xfId="0" applyNumberFormat="1" applyFont="1" applyFill="1" applyBorder="1" applyAlignment="1">
      <alignment wrapText="1"/>
    </xf>
    <xf numFmtId="0" fontId="15" fillId="11" borderId="9" xfId="0" applyFont="1" applyFill="1" applyBorder="1"/>
    <xf numFmtId="44" fontId="15" fillId="11" borderId="9" xfId="1" applyFont="1" applyFill="1" applyBorder="1"/>
    <xf numFmtId="2" fontId="15" fillId="11" borderId="9" xfId="0" applyNumberFormat="1" applyFont="1" applyFill="1" applyBorder="1"/>
    <xf numFmtId="0" fontId="15" fillId="11" borderId="0" xfId="0" applyFont="1" applyFill="1" applyBorder="1"/>
    <xf numFmtId="0" fontId="0" fillId="11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" fontId="15" fillId="0" borderId="9" xfId="0" applyNumberFormat="1" applyFont="1" applyFill="1" applyBorder="1"/>
    <xf numFmtId="1" fontId="15" fillId="0" borderId="9" xfId="2" applyNumberFormat="1" applyFont="1" applyFill="1" applyBorder="1" applyAlignment="1">
      <alignment wrapText="1"/>
    </xf>
    <xf numFmtId="0" fontId="15" fillId="12" borderId="9" xfId="0" applyFont="1" applyFill="1" applyBorder="1" applyAlignment="1">
      <alignment wrapText="1"/>
    </xf>
    <xf numFmtId="1" fontId="15" fillId="12" borderId="9" xfId="0" applyNumberFormat="1" applyFont="1" applyFill="1" applyBorder="1" applyAlignment="1">
      <alignment wrapText="1"/>
    </xf>
    <xf numFmtId="0" fontId="15" fillId="12" borderId="9" xfId="0" applyFont="1" applyFill="1" applyBorder="1"/>
    <xf numFmtId="44" fontId="15" fillId="12" borderId="9" xfId="1" applyFont="1" applyFill="1" applyBorder="1"/>
    <xf numFmtId="2" fontId="15" fillId="12" borderId="9" xfId="0" applyNumberFormat="1" applyFont="1" applyFill="1" applyBorder="1"/>
    <xf numFmtId="0" fontId="15" fillId="12" borderId="0" xfId="0" applyFont="1" applyFill="1" applyBorder="1"/>
    <xf numFmtId="0" fontId="0" fillId="12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0" fillId="12" borderId="9" xfId="0" applyFont="1" applyFill="1" applyBorder="1" applyAlignment="1">
      <alignment wrapText="1"/>
    </xf>
    <xf numFmtId="1" fontId="20" fillId="12" borderId="9" xfId="0" applyNumberFormat="1" applyFont="1" applyFill="1" applyBorder="1" applyAlignment="1">
      <alignment wrapText="1"/>
    </xf>
    <xf numFmtId="0" fontId="20" fillId="12" borderId="9" xfId="0" applyFont="1" applyFill="1" applyBorder="1"/>
    <xf numFmtId="44" fontId="20" fillId="12" borderId="9" xfId="1" applyFont="1" applyFill="1" applyBorder="1"/>
    <xf numFmtId="2" fontId="20" fillId="12" borderId="9" xfId="0" applyNumberFormat="1" applyFont="1" applyFill="1" applyBorder="1"/>
    <xf numFmtId="0" fontId="20" fillId="12" borderId="0" xfId="0" applyFont="1" applyFill="1" applyBorder="1"/>
    <xf numFmtId="0" fontId="21" fillId="12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" fillId="0" borderId="9" xfId="0" applyNumberFormat="1" applyFont="1" applyFill="1" applyBorder="1"/>
    <xf numFmtId="0" fontId="0" fillId="0" borderId="0" xfId="0" applyFont="1" applyFill="1" applyBorder="1"/>
    <xf numFmtId="1" fontId="1" fillId="7" borderId="9" xfId="0" applyNumberFormat="1" applyFont="1" applyFill="1" applyBorder="1"/>
    <xf numFmtId="0" fontId="0" fillId="7" borderId="0" xfId="0" applyFont="1" applyFill="1" applyBorder="1"/>
    <xf numFmtId="0" fontId="0" fillId="10" borderId="9" xfId="0" applyFont="1" applyFill="1" applyBorder="1"/>
    <xf numFmtId="0" fontId="22" fillId="2" borderId="9" xfId="0" applyFont="1" applyFill="1" applyBorder="1" applyAlignment="1">
      <alignment wrapText="1"/>
    </xf>
    <xf numFmtId="1" fontId="23" fillId="2" borderId="9" xfId="0" applyNumberFormat="1" applyFont="1" applyFill="1" applyBorder="1" applyAlignment="1">
      <alignment wrapText="1"/>
    </xf>
    <xf numFmtId="0" fontId="23" fillId="2" borderId="9" xfId="0" applyFont="1" applyFill="1" applyBorder="1"/>
    <xf numFmtId="44" fontId="23" fillId="2" borderId="9" xfId="1" applyFont="1" applyFill="1" applyBorder="1"/>
    <xf numFmtId="2" fontId="23" fillId="2" borderId="9" xfId="0" applyNumberFormat="1" applyFont="1" applyFill="1" applyBorder="1"/>
    <xf numFmtId="0" fontId="23" fillId="2" borderId="9" xfId="0" applyFont="1" applyFill="1" applyBorder="1" applyAlignment="1">
      <alignment wrapText="1"/>
    </xf>
    <xf numFmtId="0" fontId="23" fillId="2" borderId="0" xfId="0" applyFont="1" applyFill="1" applyBorder="1"/>
    <xf numFmtId="0" fontId="24" fillId="2" borderId="9" xfId="0" applyFont="1" applyFill="1" applyBorder="1" applyAlignment="1">
      <alignment wrapText="1"/>
    </xf>
    <xf numFmtId="1" fontId="25" fillId="2" borderId="9" xfId="0" applyNumberFormat="1" applyFont="1" applyFill="1" applyBorder="1" applyAlignment="1">
      <alignment wrapText="1"/>
    </xf>
    <xf numFmtId="0" fontId="25" fillId="2" borderId="9" xfId="0" applyFont="1" applyFill="1" applyBorder="1"/>
    <xf numFmtId="44" fontId="25" fillId="2" borderId="9" xfId="1" applyFont="1" applyFill="1" applyBorder="1"/>
    <xf numFmtId="2" fontId="25" fillId="2" borderId="9" xfId="0" applyNumberFormat="1" applyFont="1" applyFill="1" applyBorder="1"/>
    <xf numFmtId="0" fontId="25" fillId="2" borderId="9" xfId="0" applyFont="1" applyFill="1" applyBorder="1" applyAlignment="1">
      <alignment wrapText="1"/>
    </xf>
    <xf numFmtId="0" fontId="25" fillId="2" borderId="0" xfId="0" applyFont="1" applyFill="1" applyBorder="1"/>
    <xf numFmtId="0" fontId="24" fillId="10" borderId="9" xfId="0" applyFont="1" applyFill="1" applyBorder="1" applyAlignment="1">
      <alignment wrapText="1"/>
    </xf>
    <xf numFmtId="1" fontId="25" fillId="10" borderId="9" xfId="0" applyNumberFormat="1" applyFont="1" applyFill="1" applyBorder="1" applyAlignment="1">
      <alignment wrapText="1"/>
    </xf>
    <xf numFmtId="14" fontId="25" fillId="10" borderId="9" xfId="0" applyNumberFormat="1" applyFont="1" applyFill="1" applyBorder="1"/>
    <xf numFmtId="44" fontId="25" fillId="10" borderId="9" xfId="1" applyFont="1" applyFill="1" applyBorder="1"/>
    <xf numFmtId="2" fontId="25" fillId="10" borderId="9" xfId="0" applyNumberFormat="1" applyFont="1" applyFill="1" applyBorder="1"/>
    <xf numFmtId="0" fontId="25" fillId="10" borderId="9" xfId="0" applyFont="1" applyFill="1" applyBorder="1"/>
    <xf numFmtId="0" fontId="25" fillId="10" borderId="9" xfId="0" applyFont="1" applyFill="1" applyBorder="1" applyAlignment="1">
      <alignment wrapText="1"/>
    </xf>
    <xf numFmtId="0" fontId="25" fillId="10" borderId="0" xfId="0" applyFont="1" applyFill="1" applyBorder="1"/>
    <xf numFmtId="0" fontId="24" fillId="0" borderId="9" xfId="0" applyFont="1" applyFill="1" applyBorder="1" applyAlignment="1">
      <alignment wrapText="1"/>
    </xf>
    <xf numFmtId="1" fontId="25" fillId="0" borderId="9" xfId="0" applyNumberFormat="1" applyFont="1" applyFill="1" applyBorder="1" applyAlignment="1">
      <alignment wrapText="1"/>
    </xf>
    <xf numFmtId="0" fontId="25" fillId="0" borderId="9" xfId="0" applyFont="1" applyFill="1" applyBorder="1"/>
    <xf numFmtId="44" fontId="25" fillId="0" borderId="9" xfId="1" applyFont="1" applyFill="1" applyBorder="1"/>
    <xf numFmtId="2" fontId="25" fillId="0" borderId="9" xfId="0" applyNumberFormat="1" applyFont="1" applyFill="1" applyBorder="1"/>
    <xf numFmtId="0" fontId="25" fillId="0" borderId="9" xfId="0" applyFont="1" applyFill="1" applyBorder="1" applyAlignment="1">
      <alignment wrapText="1"/>
    </xf>
    <xf numFmtId="0" fontId="25" fillId="0" borderId="0" xfId="0" applyFont="1" applyFill="1" applyBorder="1"/>
    <xf numFmtId="14" fontId="25" fillId="0" borderId="9" xfId="0" applyNumberFormat="1" applyFont="1" applyFill="1" applyBorder="1"/>
    <xf numFmtId="0" fontId="26" fillId="7" borderId="9" xfId="0" applyFont="1" applyFill="1" applyBorder="1" applyAlignment="1">
      <alignment wrapText="1"/>
    </xf>
    <xf numFmtId="1" fontId="26" fillId="7" borderId="9" xfId="0" applyNumberFormat="1" applyFont="1" applyFill="1" applyBorder="1" applyAlignment="1">
      <alignment wrapText="1"/>
    </xf>
    <xf numFmtId="0" fontId="23" fillId="7" borderId="9" xfId="0" applyFont="1" applyFill="1" applyBorder="1"/>
    <xf numFmtId="44" fontId="23" fillId="7" borderId="9" xfId="1" applyFont="1" applyFill="1" applyBorder="1"/>
    <xf numFmtId="2" fontId="23" fillId="7" borderId="9" xfId="0" applyNumberFormat="1" applyFont="1" applyFill="1" applyBorder="1"/>
    <xf numFmtId="0" fontId="23" fillId="7" borderId="9" xfId="0" applyFont="1" applyFill="1" applyBorder="1" applyAlignment="1">
      <alignment wrapText="1"/>
    </xf>
    <xf numFmtId="0" fontId="23" fillId="7" borderId="0" xfId="0" applyFont="1" applyFill="1" applyBorder="1"/>
    <xf numFmtId="0" fontId="27" fillId="7" borderId="9" xfId="0" applyFont="1" applyFill="1" applyBorder="1" applyAlignment="1">
      <alignment wrapText="1"/>
    </xf>
    <xf numFmtId="1" fontId="27" fillId="7" borderId="9" xfId="0" applyNumberFormat="1" applyFont="1" applyFill="1" applyBorder="1" applyAlignment="1">
      <alignment wrapText="1"/>
    </xf>
    <xf numFmtId="0" fontId="25" fillId="7" borderId="9" xfId="0" applyFont="1" applyFill="1" applyBorder="1"/>
    <xf numFmtId="44" fontId="25" fillId="7" borderId="9" xfId="1" applyFont="1" applyFill="1" applyBorder="1"/>
    <xf numFmtId="2" fontId="25" fillId="7" borderId="9" xfId="0" applyNumberFormat="1" applyFont="1" applyFill="1" applyBorder="1"/>
    <xf numFmtId="0" fontId="25" fillId="7" borderId="9" xfId="0" applyFont="1" applyFill="1" applyBorder="1" applyAlignment="1">
      <alignment wrapText="1"/>
    </xf>
    <xf numFmtId="0" fontId="25" fillId="7" borderId="0" xfId="0" applyFont="1" applyFill="1" applyBorder="1"/>
    <xf numFmtId="0" fontId="27" fillId="7" borderId="9" xfId="0" applyFont="1" applyFill="1" applyBorder="1"/>
    <xf numFmtId="1" fontId="27" fillId="7" borderId="9" xfId="0" applyNumberFormat="1" applyFont="1" applyFill="1" applyBorder="1"/>
    <xf numFmtId="1" fontId="25" fillId="7" borderId="9" xfId="0" applyNumberFormat="1" applyFont="1" applyFill="1" applyBorder="1" applyAlignment="1">
      <alignment wrapText="1"/>
    </xf>
    <xf numFmtId="14" fontId="25" fillId="7" borderId="9" xfId="0" applyNumberFormat="1" applyFont="1" applyFill="1" applyBorder="1"/>
    <xf numFmtId="44" fontId="25" fillId="0" borderId="9" xfId="0" applyNumberFormat="1" applyFont="1" applyFill="1" applyBorder="1"/>
    <xf numFmtId="0" fontId="25" fillId="5" borderId="9" xfId="0" applyFont="1" applyFill="1" applyBorder="1"/>
    <xf numFmtId="2" fontId="25" fillId="5" borderId="9" xfId="0" applyNumberFormat="1" applyFont="1" applyFill="1" applyBorder="1"/>
    <xf numFmtId="0" fontId="25" fillId="5" borderId="0" xfId="0" applyFont="1" applyFill="1" applyBorder="1"/>
    <xf numFmtId="0" fontId="23" fillId="10" borderId="9" xfId="0" applyFont="1" applyFill="1" applyBorder="1"/>
    <xf numFmtId="14" fontId="25" fillId="2" borderId="9" xfId="0" applyNumberFormat="1" applyFont="1" applyFill="1" applyBorder="1"/>
    <xf numFmtId="0" fontId="28" fillId="2" borderId="9" xfId="0" applyFont="1" applyFill="1" applyBorder="1" applyAlignment="1">
      <alignment wrapText="1"/>
    </xf>
    <xf numFmtId="1" fontId="29" fillId="2" borderId="9" xfId="0" applyNumberFormat="1" applyFont="1" applyFill="1" applyBorder="1" applyAlignment="1">
      <alignment wrapText="1"/>
    </xf>
    <xf numFmtId="0" fontId="29" fillId="2" borderId="9" xfId="0" applyFont="1" applyFill="1" applyBorder="1"/>
    <xf numFmtId="44" fontId="29" fillId="2" borderId="9" xfId="1" applyFont="1" applyFill="1" applyBorder="1"/>
    <xf numFmtId="2" fontId="29" fillId="2" borderId="9" xfId="0" applyNumberFormat="1" applyFont="1" applyFill="1" applyBorder="1"/>
    <xf numFmtId="0" fontId="29" fillId="2" borderId="9" xfId="0" applyFont="1" applyFill="1" applyBorder="1" applyAlignment="1">
      <alignment wrapText="1"/>
    </xf>
    <xf numFmtId="0" fontId="29" fillId="2" borderId="0" xfId="0" applyFont="1" applyFill="1" applyBorder="1"/>
    <xf numFmtId="0" fontId="32" fillId="2" borderId="9" xfId="0" applyFont="1" applyFill="1" applyBorder="1" applyAlignment="1">
      <alignment wrapText="1"/>
    </xf>
    <xf numFmtId="1" fontId="33" fillId="2" borderId="9" xfId="0" applyNumberFormat="1" applyFont="1" applyFill="1" applyBorder="1" applyAlignment="1">
      <alignment wrapText="1"/>
    </xf>
    <xf numFmtId="0" fontId="33" fillId="2" borderId="9" xfId="0" applyFont="1" applyFill="1" applyBorder="1"/>
    <xf numFmtId="44" fontId="33" fillId="2" borderId="9" xfId="1" applyFont="1" applyFill="1" applyBorder="1"/>
    <xf numFmtId="2" fontId="33" fillId="2" borderId="9" xfId="0" applyNumberFormat="1" applyFont="1" applyFill="1" applyBorder="1"/>
    <xf numFmtId="0" fontId="33" fillId="2" borderId="9" xfId="0" applyFont="1" applyFill="1" applyBorder="1" applyAlignment="1">
      <alignment wrapText="1"/>
    </xf>
    <xf numFmtId="0" fontId="33" fillId="2" borderId="0" xfId="0" applyFont="1" applyFill="1" applyBorder="1"/>
    <xf numFmtId="0" fontId="30" fillId="2" borderId="9" xfId="0" applyFont="1" applyFill="1" applyBorder="1" applyAlignment="1">
      <alignment wrapText="1"/>
    </xf>
    <xf numFmtId="1" fontId="27" fillId="2" borderId="9" xfId="0" applyNumberFormat="1" applyFont="1" applyFill="1" applyBorder="1" applyAlignment="1">
      <alignment wrapText="1"/>
    </xf>
    <xf numFmtId="14" fontId="27" fillId="2" borderId="9" xfId="0" applyNumberFormat="1" applyFont="1" applyFill="1" applyBorder="1"/>
    <xf numFmtId="44" fontId="27" fillId="2" borderId="9" xfId="1" applyFont="1" applyFill="1" applyBorder="1"/>
    <xf numFmtId="2" fontId="27" fillId="2" borderId="9" xfId="0" applyNumberFormat="1" applyFont="1" applyFill="1" applyBorder="1"/>
    <xf numFmtId="0" fontId="27" fillId="2" borderId="9" xfId="0" applyFont="1" applyFill="1" applyBorder="1"/>
    <xf numFmtId="0" fontId="31" fillId="2" borderId="9" xfId="0" applyFont="1" applyFill="1" applyBorder="1" applyAlignment="1">
      <alignment wrapText="1"/>
    </xf>
    <xf numFmtId="1" fontId="25" fillId="2" borderId="9" xfId="0" applyNumberFormat="1" applyFont="1" applyFill="1" applyBorder="1"/>
    <xf numFmtId="49" fontId="25" fillId="2" borderId="9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25" fillId="2" borderId="9" xfId="2" applyNumberFormat="1" applyFont="1" applyFill="1" applyBorder="1" applyAlignment="1">
      <alignment wrapText="1"/>
    </xf>
    <xf numFmtId="0" fontId="24" fillId="13" borderId="9" xfId="0" applyFont="1" applyFill="1" applyBorder="1" applyAlignment="1">
      <alignment wrapText="1"/>
    </xf>
    <xf numFmtId="1" fontId="25" fillId="13" borderId="9" xfId="0" applyNumberFormat="1" applyFont="1" applyFill="1" applyBorder="1" applyAlignment="1">
      <alignment wrapText="1"/>
    </xf>
    <xf numFmtId="0" fontId="25" fillId="13" borderId="9" xfId="0" applyFont="1" applyFill="1" applyBorder="1"/>
    <xf numFmtId="44" fontId="25" fillId="13" borderId="9" xfId="1" applyFont="1" applyFill="1" applyBorder="1"/>
    <xf numFmtId="2" fontId="25" fillId="13" borderId="9" xfId="0" applyNumberFormat="1" applyFont="1" applyFill="1" applyBorder="1"/>
    <xf numFmtId="0" fontId="25" fillId="13" borderId="9" xfId="0" applyFont="1" applyFill="1" applyBorder="1" applyAlignment="1">
      <alignment wrapText="1"/>
    </xf>
    <xf numFmtId="0" fontId="25" fillId="13" borderId="0" xfId="0" applyFont="1" applyFill="1" applyBorder="1"/>
    <xf numFmtId="0" fontId="23" fillId="0" borderId="0" xfId="0" applyFont="1" applyFill="1" applyBorder="1"/>
    <xf numFmtId="0" fontId="29" fillId="0" borderId="0" xfId="0" applyFont="1" applyFill="1" applyBorder="1"/>
    <xf numFmtId="0" fontId="33" fillId="0" borderId="0" xfId="0" applyFont="1" applyFill="1" applyBorder="1"/>
    <xf numFmtId="0" fontId="23" fillId="13" borderId="0" xfId="0" applyFont="1" applyFill="1" applyBorder="1"/>
    <xf numFmtId="16" fontId="25" fillId="2" borderId="9" xfId="0" applyNumberFormat="1" applyFont="1" applyFill="1" applyBorder="1"/>
    <xf numFmtId="0" fontId="17" fillId="2" borderId="9" xfId="0" applyFont="1" applyFill="1" applyBorder="1" applyAlignment="1">
      <alignment wrapText="1"/>
    </xf>
    <xf numFmtId="1" fontId="17" fillId="2" borderId="9" xfId="0" applyNumberFormat="1" applyFont="1" applyFill="1" applyBorder="1" applyAlignment="1">
      <alignment wrapText="1"/>
    </xf>
    <xf numFmtId="0" fontId="17" fillId="0" borderId="9" xfId="0" applyFont="1" applyFill="1" applyBorder="1" applyAlignment="1">
      <alignment wrapText="1"/>
    </xf>
    <xf numFmtId="1" fontId="17" fillId="0" borderId="9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4" fillId="2" borderId="9" xfId="0" applyFont="1" applyFill="1" applyBorder="1" applyAlignment="1">
      <alignment wrapText="1"/>
    </xf>
    <xf numFmtId="1" fontId="35" fillId="2" borderId="9" xfId="0" applyNumberFormat="1" applyFont="1" applyFill="1" applyBorder="1" applyAlignment="1">
      <alignment wrapText="1"/>
    </xf>
    <xf numFmtId="0" fontId="35" fillId="2" borderId="9" xfId="0" applyFont="1" applyFill="1" applyBorder="1"/>
    <xf numFmtId="44" fontId="35" fillId="2" borderId="9" xfId="1" applyFont="1" applyFill="1" applyBorder="1"/>
    <xf numFmtId="2" fontId="35" fillId="2" borderId="9" xfId="0" applyNumberFormat="1" applyFont="1" applyFill="1" applyBorder="1"/>
    <xf numFmtId="0" fontId="35" fillId="2" borderId="9" xfId="0" applyFont="1" applyFill="1" applyBorder="1" applyAlignment="1">
      <alignment wrapText="1"/>
    </xf>
    <xf numFmtId="0" fontId="35" fillId="2" borderId="0" xfId="0" applyFont="1" applyFill="1" applyBorder="1"/>
    <xf numFmtId="0" fontId="35" fillId="0" borderId="0" xfId="0" applyFont="1" applyFill="1" applyBorder="1"/>
    <xf numFmtId="0" fontId="34" fillId="0" borderId="9" xfId="0" applyFont="1" applyFill="1" applyBorder="1" applyAlignment="1">
      <alignment wrapText="1"/>
    </xf>
    <xf numFmtId="1" fontId="35" fillId="0" borderId="9" xfId="0" applyNumberFormat="1" applyFont="1" applyFill="1" applyBorder="1" applyAlignment="1">
      <alignment wrapText="1"/>
    </xf>
    <xf numFmtId="0" fontId="35" fillId="0" borderId="9" xfId="0" applyFont="1" applyFill="1" applyBorder="1"/>
    <xf numFmtId="44" fontId="35" fillId="0" borderId="9" xfId="1" applyFont="1" applyFill="1" applyBorder="1"/>
    <xf numFmtId="2" fontId="35" fillId="0" borderId="9" xfId="0" applyNumberFormat="1" applyFont="1" applyFill="1" applyBorder="1"/>
    <xf numFmtId="0" fontId="35" fillId="0" borderId="9" xfId="0" applyFont="1" applyFill="1" applyBorder="1" applyAlignment="1">
      <alignment wrapText="1"/>
    </xf>
    <xf numFmtId="0" fontId="15" fillId="14" borderId="9" xfId="0" applyFont="1" applyFill="1" applyBorder="1" applyAlignment="1">
      <alignment wrapText="1"/>
    </xf>
    <xf numFmtId="1" fontId="15" fillId="14" borderId="9" xfId="0" applyNumberFormat="1" applyFont="1" applyFill="1" applyBorder="1" applyAlignment="1">
      <alignment wrapText="1"/>
    </xf>
    <xf numFmtId="0" fontId="15" fillId="14" borderId="9" xfId="0" applyFont="1" applyFill="1" applyBorder="1"/>
    <xf numFmtId="44" fontId="15" fillId="14" borderId="9" xfId="1" applyFont="1" applyFill="1" applyBorder="1"/>
    <xf numFmtId="2" fontId="15" fillId="14" borderId="9" xfId="0" applyNumberFormat="1" applyFont="1" applyFill="1" applyBorder="1"/>
    <xf numFmtId="0" fontId="15" fillId="14" borderId="0" xfId="0" applyFont="1" applyFill="1" applyBorder="1"/>
    <xf numFmtId="0" fontId="0" fillId="14" borderId="0" xfId="0" applyFill="1" applyBorder="1"/>
    <xf numFmtId="0" fontId="16" fillId="14" borderId="9" xfId="0" applyFont="1" applyFill="1" applyBorder="1" applyAlignment="1">
      <alignment wrapText="1"/>
    </xf>
    <xf numFmtId="1" fontId="16" fillId="14" borderId="9" xfId="0" applyNumberFormat="1" applyFont="1" applyFill="1" applyBorder="1" applyAlignment="1">
      <alignment wrapText="1"/>
    </xf>
    <xf numFmtId="0" fontId="16" fillId="14" borderId="9" xfId="0" applyFont="1" applyFill="1" applyBorder="1"/>
    <xf numFmtId="44" fontId="16" fillId="14" borderId="9" xfId="1" applyFont="1" applyFill="1" applyBorder="1"/>
    <xf numFmtId="2" fontId="16" fillId="14" borderId="9" xfId="0" applyNumberFormat="1" applyFont="1" applyFill="1" applyBorder="1"/>
    <xf numFmtId="0" fontId="16" fillId="14" borderId="0" xfId="0" applyFont="1" applyFill="1" applyBorder="1"/>
    <xf numFmtId="0" fontId="8" fillId="14" borderId="0" xfId="0" applyFont="1" applyFill="1" applyBorder="1"/>
    <xf numFmtId="14" fontId="15" fillId="11" borderId="9" xfId="0" applyNumberFormat="1" applyFont="1" applyFill="1" applyBorder="1"/>
    <xf numFmtId="0" fontId="16" fillId="11" borderId="9" xfId="0" applyFont="1" applyFill="1" applyBorder="1" applyAlignment="1">
      <alignment wrapText="1"/>
    </xf>
    <xf numFmtId="1" fontId="16" fillId="11" borderId="9" xfId="0" applyNumberFormat="1" applyFont="1" applyFill="1" applyBorder="1" applyAlignment="1">
      <alignment wrapText="1"/>
    </xf>
    <xf numFmtId="14" fontId="16" fillId="11" borderId="9" xfId="0" applyNumberFormat="1" applyFont="1" applyFill="1" applyBorder="1"/>
    <xf numFmtId="44" fontId="16" fillId="11" borderId="9" xfId="1" applyFont="1" applyFill="1" applyBorder="1"/>
    <xf numFmtId="2" fontId="16" fillId="11" borderId="9" xfId="0" applyNumberFormat="1" applyFont="1" applyFill="1" applyBorder="1"/>
    <xf numFmtId="0" fontId="16" fillId="11" borderId="9" xfId="0" applyFont="1" applyFill="1" applyBorder="1"/>
    <xf numFmtId="0" fontId="16" fillId="11" borderId="0" xfId="0" applyFont="1" applyFill="1" applyBorder="1"/>
    <xf numFmtId="0" fontId="8" fillId="11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14" fillId="7" borderId="9" xfId="1" applyFont="1" applyFill="1" applyBorder="1"/>
    <xf numFmtId="2" fontId="14" fillId="7" borderId="9" xfId="0" applyNumberFormat="1" applyFont="1" applyFill="1" applyBorder="1"/>
    <xf numFmtId="0" fontId="14" fillId="7" borderId="0" xfId="0" applyFont="1" applyFill="1" applyBorder="1"/>
    <xf numFmtId="0" fontId="1" fillId="7" borderId="0" xfId="0" applyFont="1" applyFill="1" applyBorder="1"/>
    <xf numFmtId="0" fontId="37" fillId="2" borderId="9" xfId="3" applyFont="1" applyFill="1" applyBorder="1"/>
    <xf numFmtId="49" fontId="15" fillId="2" borderId="9" xfId="0" applyNumberFormat="1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14" fillId="0" borderId="9" xfId="1" applyNumberFormat="1" applyFont="1" applyFill="1" applyBorder="1"/>
    <xf numFmtId="44" fontId="15" fillId="7" borderId="9" xfId="1" applyNumberFormat="1" applyFont="1" applyFill="1" applyBorder="1"/>
    <xf numFmtId="44" fontId="15" fillId="0" borderId="9" xfId="1" applyNumberFormat="1" applyFont="1" applyFill="1" applyBorder="1"/>
    <xf numFmtId="44" fontId="15" fillId="5" borderId="9" xfId="1" applyNumberFormat="1" applyFont="1" applyFill="1" applyBorder="1"/>
    <xf numFmtId="0" fontId="38" fillId="0" borderId="9" xfId="0" applyFont="1" applyFill="1" applyBorder="1"/>
    <xf numFmtId="2" fontId="38" fillId="0" borderId="9" xfId="0" applyNumberFormat="1" applyFont="1" applyFill="1" applyBorder="1"/>
    <xf numFmtId="44" fontId="38" fillId="0" borderId="9" xfId="1" applyNumberFormat="1" applyFont="1" applyFill="1" applyBorder="1"/>
    <xf numFmtId="0" fontId="38" fillId="0" borderId="0" xfId="0" applyFont="1" applyFill="1" applyBorder="1"/>
    <xf numFmtId="0" fontId="39" fillId="0" borderId="0" xfId="0" applyFont="1"/>
    <xf numFmtId="0" fontId="39" fillId="0" borderId="0" xfId="0" applyFont="1" applyFill="1" applyBorder="1"/>
    <xf numFmtId="0" fontId="40" fillId="7" borderId="9" xfId="0" applyFont="1" applyFill="1" applyBorder="1" applyAlignment="1">
      <alignment wrapText="1"/>
    </xf>
    <xf numFmtId="1" fontId="40" fillId="7" borderId="9" xfId="0" applyNumberFormat="1" applyFont="1" applyFill="1" applyBorder="1" applyAlignment="1">
      <alignment wrapText="1"/>
    </xf>
    <xf numFmtId="0" fontId="40" fillId="7" borderId="9" xfId="0" applyFont="1" applyFill="1" applyBorder="1"/>
    <xf numFmtId="44" fontId="40" fillId="7" borderId="9" xfId="1" applyFont="1" applyFill="1" applyBorder="1"/>
    <xf numFmtId="2" fontId="40" fillId="7" borderId="9" xfId="0" applyNumberFormat="1" applyFont="1" applyFill="1" applyBorder="1"/>
    <xf numFmtId="44" fontId="40" fillId="7" borderId="9" xfId="1" applyNumberFormat="1" applyFont="1" applyFill="1" applyBorder="1"/>
    <xf numFmtId="0" fontId="40" fillId="7" borderId="0" xfId="0" applyFont="1" applyFill="1" applyBorder="1"/>
    <xf numFmtId="0" fontId="15" fillId="15" borderId="9" xfId="0" applyFont="1" applyFill="1" applyBorder="1"/>
    <xf numFmtId="44" fontId="15" fillId="15" borderId="9" xfId="0" applyNumberFormat="1" applyFont="1" applyFill="1" applyBorder="1"/>
    <xf numFmtId="2" fontId="15" fillId="15" borderId="9" xfId="0" applyNumberFormat="1" applyFont="1" applyFill="1" applyBorder="1"/>
    <xf numFmtId="44" fontId="15" fillId="15" borderId="9" xfId="1" applyNumberFormat="1" applyFont="1" applyFill="1" applyBorder="1"/>
    <xf numFmtId="0" fontId="38" fillId="2" borderId="9" xfId="0" applyFont="1" applyFill="1" applyBorder="1"/>
    <xf numFmtId="2" fontId="38" fillId="2" borderId="9" xfId="0" applyNumberFormat="1" applyFont="1" applyFill="1" applyBorder="1"/>
    <xf numFmtId="0" fontId="39" fillId="2" borderId="0" xfId="0" applyFont="1" applyFill="1"/>
    <xf numFmtId="0" fontId="42" fillId="2" borderId="9" xfId="3" applyFont="1" applyFill="1" applyBorder="1"/>
    <xf numFmtId="0" fontId="39" fillId="2" borderId="0" xfId="0" applyFont="1" applyFill="1" applyBorder="1"/>
    <xf numFmtId="0" fontId="38" fillId="13" borderId="9" xfId="0" applyFont="1" applyFill="1" applyBorder="1"/>
    <xf numFmtId="2" fontId="38" fillId="13" borderId="9" xfId="0" applyNumberFormat="1" applyFont="1" applyFill="1" applyBorder="1"/>
    <xf numFmtId="0" fontId="39" fillId="13" borderId="0" xfId="0" applyFont="1" applyFill="1"/>
    <xf numFmtId="0" fontId="39" fillId="13" borderId="0" xfId="0" applyFont="1" applyFill="1" applyBorder="1"/>
    <xf numFmtId="44" fontId="38" fillId="2" borderId="9" xfId="1" applyFont="1" applyFill="1" applyBorder="1"/>
    <xf numFmtId="44" fontId="38" fillId="13" borderId="9" xfId="1" applyFont="1" applyFill="1" applyBorder="1"/>
    <xf numFmtId="44" fontId="15" fillId="15" borderId="9" xfId="1" applyFont="1" applyFill="1" applyBorder="1"/>
    <xf numFmtId="44" fontId="15" fillId="5" borderId="9" xfId="1" applyFont="1" applyFill="1" applyBorder="1"/>
    <xf numFmtId="0" fontId="15" fillId="13" borderId="9" xfId="0" applyFont="1" applyFill="1" applyBorder="1" applyAlignment="1">
      <alignment wrapText="1"/>
    </xf>
    <xf numFmtId="1" fontId="15" fillId="13" borderId="9" xfId="0" applyNumberFormat="1" applyFont="1" applyFill="1" applyBorder="1" applyAlignment="1">
      <alignment wrapText="1"/>
    </xf>
    <xf numFmtId="14" fontId="15" fillId="13" borderId="9" xfId="0" applyNumberFormat="1" applyFont="1" applyFill="1" applyBorder="1"/>
    <xf numFmtId="44" fontId="15" fillId="13" borderId="9" xfId="1" applyFont="1" applyFill="1" applyBorder="1"/>
    <xf numFmtId="2" fontId="15" fillId="13" borderId="9" xfId="0" applyNumberFormat="1" applyFont="1" applyFill="1" applyBorder="1"/>
    <xf numFmtId="0" fontId="15" fillId="13" borderId="9" xfId="0" applyFont="1" applyFill="1" applyBorder="1"/>
    <xf numFmtId="0" fontId="0" fillId="13" borderId="0" xfId="0" applyFill="1" applyBorder="1"/>
    <xf numFmtId="44" fontId="15" fillId="2" borderId="9" xfId="1" applyNumberFormat="1" applyFont="1" applyFill="1" applyBorder="1"/>
    <xf numFmtId="0" fontId="39" fillId="7" borderId="0" xfId="0" applyFont="1" applyFill="1"/>
    <xf numFmtId="0" fontId="0" fillId="15" borderId="0" xfId="0" applyFill="1" applyBorder="1"/>
    <xf numFmtId="44" fontId="16" fillId="2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0" fillId="2" borderId="0" xfId="0" applyNumberFormat="1" applyFill="1" applyBorder="1"/>
    <xf numFmtId="44" fontId="15" fillId="2" borderId="10" xfId="1" applyFont="1" applyFill="1" applyBorder="1"/>
    <xf numFmtId="2" fontId="15" fillId="2" borderId="9" xfId="1" applyNumberFormat="1" applyFont="1" applyFill="1" applyBorder="1"/>
    <xf numFmtId="44" fontId="19" fillId="2" borderId="9" xfId="1" applyNumberFormat="1" applyFont="1" applyFill="1" applyBorder="1"/>
    <xf numFmtId="44" fontId="14" fillId="2" borderId="9" xfId="1" applyNumberFormat="1" applyFont="1" applyFill="1" applyBorder="1"/>
    <xf numFmtId="2" fontId="0" fillId="2" borderId="0" xfId="0" applyNumberFormat="1" applyFill="1" applyBorder="1"/>
    <xf numFmtId="0" fontId="15" fillId="16" borderId="9" xfId="0" applyFont="1" applyFill="1" applyBorder="1" applyAlignment="1">
      <alignment wrapText="1"/>
    </xf>
    <xf numFmtId="1" fontId="15" fillId="16" borderId="9" xfId="0" applyNumberFormat="1" applyFont="1" applyFill="1" applyBorder="1" applyAlignment="1">
      <alignment wrapText="1"/>
    </xf>
    <xf numFmtId="0" fontId="15" fillId="16" borderId="9" xfId="0" applyFont="1" applyFill="1" applyBorder="1"/>
    <xf numFmtId="44" fontId="15" fillId="16" borderId="9" xfId="1" applyFont="1" applyFill="1" applyBorder="1"/>
    <xf numFmtId="2" fontId="15" fillId="16" borderId="9" xfId="0" applyNumberFormat="1" applyFont="1" applyFill="1" applyBorder="1"/>
    <xf numFmtId="44" fontId="15" fillId="16" borderId="9" xfId="1" applyNumberFormat="1" applyFont="1" applyFill="1" applyBorder="1"/>
    <xf numFmtId="0" fontId="15" fillId="16" borderId="0" xfId="0" applyFont="1" applyFill="1" applyBorder="1"/>
    <xf numFmtId="0" fontId="0" fillId="16" borderId="0" xfId="0" applyFill="1" applyBorder="1"/>
    <xf numFmtId="44" fontId="38" fillId="2" borderId="9" xfId="1" applyNumberFormat="1" applyFont="1" applyFill="1" applyBorder="1"/>
    <xf numFmtId="0" fontId="38" fillId="2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4" fontId="38" fillId="2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38" fillId="13" borderId="9" xfId="1" applyNumberFormat="1" applyFont="1" applyFill="1" applyBorder="1"/>
    <xf numFmtId="0" fontId="38" fillId="13" borderId="0" xfId="0" applyFont="1" applyFill="1" applyBorder="1"/>
    <xf numFmtId="44" fontId="38" fillId="0" borderId="9" xfId="1" applyFont="1" applyFill="1" applyBorder="1"/>
    <xf numFmtId="0" fontId="39" fillId="0" borderId="0" xfId="0" applyFont="1" applyFill="1"/>
    <xf numFmtId="44" fontId="16" fillId="0" borderId="9" xfId="1" applyNumberFormat="1" applyFont="1" applyFill="1" applyBorder="1"/>
    <xf numFmtId="0" fontId="19" fillId="0" borderId="9" xfId="0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0" fillId="13" borderId="9" xfId="0" applyNumberFormat="1" applyFont="1" applyFill="1" applyBorder="1" applyAlignment="1">
      <alignment wrapText="1"/>
    </xf>
    <xf numFmtId="1" fontId="14" fillId="13" borderId="9" xfId="0" applyNumberFormat="1" applyFont="1" applyFill="1" applyBorder="1"/>
    <xf numFmtId="1" fontId="14" fillId="13" borderId="9" xfId="0" applyNumberFormat="1" applyFont="1" applyFill="1" applyBorder="1" applyAlignment="1">
      <alignment wrapText="1"/>
    </xf>
    <xf numFmtId="44" fontId="15" fillId="13" borderId="9" xfId="1" applyNumberFormat="1" applyFont="1" applyFill="1" applyBorder="1"/>
    <xf numFmtId="44" fontId="40" fillId="13" borderId="9" xfId="1" applyFont="1" applyFill="1" applyBorder="1"/>
    <xf numFmtId="2" fontId="40" fillId="13" borderId="9" xfId="0" applyNumberFormat="1" applyFont="1" applyFill="1" applyBorder="1"/>
    <xf numFmtId="44" fontId="40" fillId="13" borderId="9" xfId="1" applyNumberFormat="1" applyFont="1" applyFill="1" applyBorder="1"/>
    <xf numFmtId="0" fontId="40" fillId="13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1" fillId="2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7" borderId="9" xfId="0" applyNumberFormat="1" applyFont="1" applyFill="1" applyBorder="1" applyAlignment="1">
      <alignment wrapText="1"/>
    </xf>
    <xf numFmtId="1" fontId="43" fillId="7" borderId="9" xfId="0" applyNumberFormat="1" applyFont="1" applyFill="1" applyBorder="1"/>
    <xf numFmtId="1" fontId="44" fillId="7" borderId="9" xfId="0" applyNumberFormat="1" applyFont="1" applyFill="1" applyBorder="1" applyAlignment="1">
      <alignment wrapText="1"/>
    </xf>
    <xf numFmtId="14" fontId="19" fillId="2" borderId="9" xfId="0" applyNumberFormat="1" applyFont="1" applyFill="1" applyBorder="1"/>
    <xf numFmtId="0" fontId="39" fillId="12" borderId="0" xfId="0" applyFont="1" applyFill="1"/>
    <xf numFmtId="0" fontId="40" fillId="12" borderId="9" xfId="0" applyFont="1" applyFill="1" applyBorder="1" applyAlignment="1">
      <alignment wrapText="1"/>
    </xf>
    <xf numFmtId="0" fontId="40" fillId="12" borderId="9" xfId="0" applyFont="1" applyFill="1" applyBorder="1"/>
    <xf numFmtId="44" fontId="40" fillId="12" borderId="9" xfId="1" applyFont="1" applyFill="1" applyBorder="1"/>
    <xf numFmtId="2" fontId="40" fillId="12" borderId="9" xfId="0" applyNumberFormat="1" applyFont="1" applyFill="1" applyBorder="1"/>
    <xf numFmtId="44" fontId="40" fillId="12" borderId="9" xfId="1" applyNumberFormat="1" applyFont="1" applyFill="1" applyBorder="1"/>
    <xf numFmtId="0" fontId="14" fillId="12" borderId="9" xfId="0" applyFont="1" applyFill="1" applyBorder="1"/>
    <xf numFmtId="44" fontId="15" fillId="12" borderId="9" xfId="1" applyNumberFormat="1" applyFont="1" applyFill="1" applyBorder="1"/>
    <xf numFmtId="0" fontId="14" fillId="12" borderId="9" xfId="0" applyFont="1" applyFill="1" applyBorder="1" applyAlignment="1">
      <alignment wrapText="1"/>
    </xf>
    <xf numFmtId="14" fontId="15" fillId="12" borderId="9" xfId="0" applyNumberFormat="1" applyFont="1" applyFill="1" applyBorder="1"/>
    <xf numFmtId="1" fontId="43" fillId="12" borderId="9" xfId="0" applyNumberFormat="1" applyFont="1" applyFill="1" applyBorder="1"/>
    <xf numFmtId="1" fontId="44" fillId="12" borderId="9" xfId="0" applyNumberFormat="1" applyFont="1" applyFill="1" applyBorder="1" applyAlignment="1">
      <alignment wrapText="1"/>
    </xf>
    <xf numFmtId="1" fontId="43" fillId="12" borderId="9" xfId="0" applyNumberFormat="1" applyFont="1" applyFill="1" applyBorder="1" applyAlignment="1">
      <alignment wrapText="1"/>
    </xf>
    <xf numFmtId="1" fontId="15" fillId="12" borderId="9" xfId="0" applyNumberFormat="1" applyFont="1" applyFill="1" applyBorder="1"/>
    <xf numFmtId="1" fontId="43" fillId="2" borderId="9" xfId="0" applyNumberFormat="1" applyFont="1" applyFill="1" applyBorder="1" applyAlignment="1">
      <alignment wrapText="1"/>
    </xf>
    <xf numFmtId="1" fontId="43" fillId="0" borderId="9" xfId="0" applyNumberFormat="1" applyFont="1" applyFill="1" applyBorder="1" applyAlignment="1">
      <alignment wrapText="1"/>
    </xf>
    <xf numFmtId="1" fontId="15" fillId="7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2" borderId="9" xfId="0" applyNumberFormat="1" applyFont="1" applyFill="1" applyBorder="1"/>
    <xf numFmtId="1" fontId="43" fillId="0" borderId="9" xfId="0" applyNumberFormat="1" applyFont="1" applyFill="1" applyBorder="1"/>
    <xf numFmtId="1" fontId="19" fillId="0" borderId="9" xfId="0" applyNumberFormat="1" applyFont="1" applyFill="1" applyBorder="1" applyAlignment="1">
      <alignment wrapText="1"/>
    </xf>
    <xf numFmtId="0" fontId="19" fillId="0" borderId="9" xfId="0" applyFont="1" applyFill="1" applyBorder="1"/>
    <xf numFmtId="44" fontId="19" fillId="0" borderId="9" xfId="1" applyFont="1" applyFill="1" applyBorder="1"/>
    <xf numFmtId="2" fontId="19" fillId="0" borderId="9" xfId="0" applyNumberFormat="1" applyFont="1" applyFill="1" applyBorder="1"/>
    <xf numFmtId="44" fontId="19" fillId="0" borderId="9" xfId="1" applyNumberFormat="1" applyFont="1" applyFill="1" applyBorder="1"/>
    <xf numFmtId="0" fontId="10" fillId="0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5" fillId="0" borderId="9" xfId="0" applyNumberFormat="1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left"/>
    </xf>
    <xf numFmtId="1" fontId="43" fillId="7" borderId="9" xfId="0" applyNumberFormat="1" applyFont="1" applyFill="1" applyBorder="1" applyAlignment="1">
      <alignment horizontal="left"/>
    </xf>
    <xf numFmtId="1" fontId="44" fillId="7" borderId="9" xfId="0" applyNumberFormat="1" applyFont="1" applyFill="1" applyBorder="1" applyAlignment="1">
      <alignment horizontal="left" wrapText="1"/>
    </xf>
    <xf numFmtId="0" fontId="38" fillId="2" borderId="9" xfId="0" applyFont="1" applyFill="1" applyBorder="1" applyAlignment="1">
      <alignment horizontal="left"/>
    </xf>
    <xf numFmtId="0" fontId="38" fillId="0" borderId="9" xfId="0" applyFont="1" applyFill="1" applyBorder="1" applyAlignment="1">
      <alignment horizontal="left"/>
    </xf>
    <xf numFmtId="1" fontId="43" fillId="7" borderId="9" xfId="0" applyNumberFormat="1" applyFont="1" applyFill="1" applyBorder="1" applyAlignment="1">
      <alignment horizontal="left" wrapText="1"/>
    </xf>
    <xf numFmtId="1" fontId="15" fillId="2" borderId="9" xfId="0" applyNumberFormat="1" applyFont="1" applyFill="1" applyBorder="1" applyAlignment="1">
      <alignment horizontal="left" wrapText="1"/>
    </xf>
    <xf numFmtId="1" fontId="43" fillId="2" borderId="9" xfId="0" applyNumberFormat="1" applyFont="1" applyFill="1" applyBorder="1" applyAlignment="1">
      <alignment horizontal="left" wrapText="1"/>
    </xf>
    <xf numFmtId="1" fontId="15" fillId="7" borderId="9" xfId="0" applyNumberFormat="1" applyFont="1" applyFill="1" applyBorder="1" applyAlignment="1">
      <alignment horizontal="left" wrapText="1"/>
    </xf>
    <xf numFmtId="1" fontId="15" fillId="7" borderId="9" xfId="0" applyNumberFormat="1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7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 wrapText="1"/>
    </xf>
    <xf numFmtId="0" fontId="40" fillId="7" borderId="9" xfId="0" applyFont="1" applyFill="1" applyBorder="1" applyAlignment="1">
      <alignment horizontal="left" wrapText="1"/>
    </xf>
    <xf numFmtId="0" fontId="42" fillId="2" borderId="9" xfId="3" applyFont="1" applyFill="1" applyBorder="1" applyAlignment="1">
      <alignment horizontal="left"/>
    </xf>
    <xf numFmtId="0" fontId="14" fillId="7" borderId="9" xfId="0" applyFont="1" applyFill="1" applyBorder="1" applyAlignment="1">
      <alignment horizontal="left" wrapText="1"/>
    </xf>
    <xf numFmtId="0" fontId="15" fillId="2" borderId="9" xfId="0" applyFont="1" applyFill="1" applyBorder="1" applyAlignment="1">
      <alignment horizontal="left" wrapText="1"/>
    </xf>
    <xf numFmtId="0" fontId="19" fillId="2" borderId="9" xfId="0" applyFont="1" applyFill="1" applyBorder="1" applyAlignment="1">
      <alignment horizontal="left" wrapText="1"/>
    </xf>
    <xf numFmtId="0" fontId="14" fillId="0" borderId="9" xfId="0" applyFont="1" applyFill="1" applyBorder="1" applyAlignment="1">
      <alignment horizontal="center"/>
    </xf>
    <xf numFmtId="44" fontId="14" fillId="0" borderId="9" xfId="1" applyFont="1" applyFill="1" applyBorder="1" applyAlignment="1">
      <alignment horizontal="center"/>
    </xf>
    <xf numFmtId="2" fontId="14" fillId="0" borderId="9" xfId="0" applyNumberFormat="1" applyFont="1" applyFill="1" applyBorder="1" applyAlignment="1">
      <alignment horizontal="center"/>
    </xf>
    <xf numFmtId="44" fontId="14" fillId="0" borderId="9" xfId="1" applyNumberFormat="1" applyFont="1" applyFill="1" applyBorder="1" applyAlignment="1">
      <alignment horizontal="center"/>
    </xf>
    <xf numFmtId="1" fontId="14" fillId="0" borderId="9" xfId="0" applyNumberFormat="1" applyFont="1" applyFill="1" applyBorder="1" applyAlignment="1">
      <alignment horizontal="center"/>
    </xf>
    <xf numFmtId="1" fontId="43" fillId="7" borderId="9" xfId="0" applyNumberFormat="1" applyFont="1" applyFill="1" applyBorder="1" applyAlignment="1">
      <alignment horizontal="center"/>
    </xf>
    <xf numFmtId="1" fontId="15" fillId="0" borderId="9" xfId="0" applyNumberFormat="1" applyFont="1" applyFill="1" applyBorder="1" applyAlignment="1">
      <alignment horizontal="center" wrapText="1"/>
    </xf>
    <xf numFmtId="1" fontId="44" fillId="7" borderId="9" xfId="0" applyNumberFormat="1" applyFont="1" applyFill="1" applyBorder="1" applyAlignment="1">
      <alignment horizontal="center" wrapText="1"/>
    </xf>
    <xf numFmtId="0" fontId="38" fillId="0" borderId="9" xfId="0" applyFont="1" applyFill="1" applyBorder="1" applyAlignment="1">
      <alignment horizontal="center"/>
    </xf>
    <xf numFmtId="1" fontId="43" fillId="7" borderId="9" xfId="0" applyNumberFormat="1" applyFont="1" applyFill="1" applyBorder="1" applyAlignment="1">
      <alignment horizontal="center" wrapText="1"/>
    </xf>
    <xf numFmtId="1" fontId="43" fillId="0" borderId="9" xfId="0" applyNumberFormat="1" applyFont="1" applyFill="1" applyBorder="1" applyAlignment="1">
      <alignment horizontal="center" wrapText="1"/>
    </xf>
    <xf numFmtId="1" fontId="15" fillId="7" borderId="9" xfId="0" applyNumberFormat="1" applyFont="1" applyFill="1" applyBorder="1" applyAlignment="1">
      <alignment horizontal="center" wrapText="1"/>
    </xf>
    <xf numFmtId="1" fontId="15" fillId="7" borderId="9" xfId="0" applyNumberFormat="1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left"/>
    </xf>
    <xf numFmtId="0" fontId="15" fillId="11" borderId="9" xfId="0" applyFont="1" applyFill="1" applyBorder="1" applyAlignment="1">
      <alignment horizontal="center"/>
    </xf>
    <xf numFmtId="44" fontId="15" fillId="11" borderId="9" xfId="1" applyNumberFormat="1" applyFont="1" applyFill="1" applyBorder="1"/>
    <xf numFmtId="44" fontId="15" fillId="11" borderId="9" xfId="0" applyNumberFormat="1" applyFont="1" applyFill="1" applyBorder="1"/>
    <xf numFmtId="0" fontId="39" fillId="11" borderId="0" xfId="0" applyFont="1" applyFill="1"/>
    <xf numFmtId="0" fontId="16" fillId="2" borderId="9" xfId="0" applyFont="1" applyFill="1" applyBorder="1" applyAlignment="1">
      <alignment horizontal="left" wrapText="1"/>
    </xf>
    <xf numFmtId="1" fontId="16" fillId="2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9" fillId="2" borderId="9" xfId="0" applyNumberFormat="1" applyFont="1" applyFill="1" applyBorder="1" applyAlignment="1">
      <alignment horizontal="left" wrapText="1"/>
    </xf>
    <xf numFmtId="49" fontId="15" fillId="2" borderId="9" xfId="0" applyNumberFormat="1" applyFont="1" applyFill="1" applyBorder="1" applyAlignment="1">
      <alignment horizontal="left" wrapText="1"/>
    </xf>
    <xf numFmtId="1" fontId="43" fillId="2" borderId="9" xfId="0" applyNumberFormat="1" applyFont="1" applyFill="1" applyBorder="1" applyAlignment="1">
      <alignment horizontal="left"/>
    </xf>
    <xf numFmtId="0" fontId="18" fillId="2" borderId="9" xfId="0" applyFont="1" applyFill="1" applyBorder="1" applyAlignment="1">
      <alignment horizontal="left" wrapText="1"/>
    </xf>
    <xf numFmtId="1" fontId="14" fillId="2" borderId="9" xfId="0" applyNumberFormat="1" applyFont="1" applyFill="1" applyBorder="1" applyAlignment="1">
      <alignment horizontal="left" wrapText="1"/>
    </xf>
    <xf numFmtId="0" fontId="41" fillId="2" borderId="9" xfId="0" applyFont="1" applyFill="1" applyBorder="1" applyAlignment="1">
      <alignment horizontal="left"/>
    </xf>
    <xf numFmtId="0" fontId="15" fillId="13" borderId="9" xfId="0" applyFont="1" applyFill="1" applyBorder="1" applyAlignment="1">
      <alignment horizontal="left" wrapText="1"/>
    </xf>
    <xf numFmtId="1" fontId="15" fillId="13" borderId="9" xfId="0" applyNumberFormat="1" applyFont="1" applyFill="1" applyBorder="1" applyAlignment="1">
      <alignment horizontal="left" wrapText="1"/>
    </xf>
    <xf numFmtId="0" fontId="38" fillId="2" borderId="9" xfId="0" applyFont="1" applyFill="1" applyBorder="1" applyAlignment="1">
      <alignment horizontal="center"/>
    </xf>
    <xf numFmtId="1" fontId="15" fillId="2" borderId="9" xfId="0" applyNumberFormat="1" applyFont="1" applyFill="1" applyBorder="1" applyAlignment="1">
      <alignment horizontal="center" wrapText="1"/>
    </xf>
    <xf numFmtId="1" fontId="16" fillId="2" borderId="9" xfId="0" applyNumberFormat="1" applyFont="1" applyFill="1" applyBorder="1" applyAlignment="1">
      <alignment horizontal="center" wrapText="1"/>
    </xf>
    <xf numFmtId="1" fontId="43" fillId="2" borderId="9" xfId="0" applyNumberFormat="1" applyFont="1" applyFill="1" applyBorder="1" applyAlignment="1">
      <alignment horizontal="center" wrapText="1"/>
    </xf>
    <xf numFmtId="1" fontId="19" fillId="2" borderId="9" xfId="0" applyNumberFormat="1" applyFont="1" applyFill="1" applyBorder="1" applyAlignment="1">
      <alignment horizontal="center" wrapText="1"/>
    </xf>
    <xf numFmtId="14" fontId="16" fillId="2" borderId="9" xfId="0" applyNumberFormat="1" applyFont="1" applyFill="1" applyBorder="1"/>
    <xf numFmtId="49" fontId="15" fillId="2" borderId="9" xfId="0" applyNumberFormat="1" applyFont="1" applyFill="1" applyBorder="1" applyAlignment="1">
      <alignment horizontal="center" wrapText="1"/>
    </xf>
    <xf numFmtId="1" fontId="14" fillId="2" borderId="9" xfId="0" applyNumberFormat="1" applyFont="1" applyFill="1" applyBorder="1" applyAlignment="1">
      <alignment horizontal="center" wrapText="1"/>
    </xf>
    <xf numFmtId="1" fontId="43" fillId="2" borderId="9" xfId="0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2" borderId="9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14" fillId="0" borderId="9" xfId="0" applyNumberFormat="1" applyFont="1" applyFill="1" applyBorder="1" applyAlignment="1">
      <alignment horizontal="left"/>
    </xf>
    <xf numFmtId="2" fontId="15" fillId="7" borderId="9" xfId="0" applyNumberFormat="1" applyFont="1" applyFill="1" applyBorder="1" applyAlignment="1">
      <alignment horizontal="left"/>
    </xf>
    <xf numFmtId="2" fontId="16" fillId="2" borderId="9" xfId="0" applyNumberFormat="1" applyFont="1" applyFill="1" applyBorder="1" applyAlignment="1">
      <alignment horizontal="left"/>
    </xf>
    <xf numFmtId="2" fontId="15" fillId="2" borderId="9" xfId="0" applyNumberFormat="1" applyFont="1" applyFill="1" applyBorder="1" applyAlignment="1">
      <alignment horizontal="left"/>
    </xf>
    <xf numFmtId="2" fontId="40" fillId="7" borderId="9" xfId="0" applyNumberFormat="1" applyFont="1" applyFill="1" applyBorder="1" applyAlignment="1">
      <alignment horizontal="left"/>
    </xf>
    <xf numFmtId="2" fontId="38" fillId="0" borderId="9" xfId="0" applyNumberFormat="1" applyFont="1" applyFill="1" applyBorder="1" applyAlignment="1">
      <alignment horizontal="left"/>
    </xf>
    <xf numFmtId="2" fontId="38" fillId="2" borderId="9" xfId="0" applyNumberFormat="1" applyFont="1" applyFill="1" applyBorder="1" applyAlignment="1">
      <alignment horizontal="left"/>
    </xf>
    <xf numFmtId="2" fontId="19" fillId="2" borderId="9" xfId="0" applyNumberFormat="1" applyFont="1" applyFill="1" applyBorder="1" applyAlignment="1">
      <alignment horizontal="left"/>
    </xf>
    <xf numFmtId="2" fontId="15" fillId="0" borderId="9" xfId="0" applyNumberFormat="1" applyFont="1" applyFill="1" applyBorder="1" applyAlignment="1">
      <alignment horizontal="left"/>
    </xf>
    <xf numFmtId="2" fontId="15" fillId="11" borderId="9" xfId="0" applyNumberFormat="1" applyFont="1" applyFill="1" applyBorder="1" applyAlignment="1">
      <alignment horizontal="left"/>
    </xf>
    <xf numFmtId="1" fontId="43" fillId="0" borderId="9" xfId="0" applyNumberFormat="1" applyFont="1" applyFill="1" applyBorder="1" applyAlignment="1">
      <alignment horizontal="left" wrapText="1"/>
    </xf>
    <xf numFmtId="2" fontId="14" fillId="2" borderId="9" xfId="0" applyNumberFormat="1" applyFont="1" applyFill="1" applyBorder="1" applyAlignment="1">
      <alignment horizontal="left"/>
    </xf>
    <xf numFmtId="0" fontId="19" fillId="0" borderId="9" xfId="0" applyFont="1" applyFill="1" applyBorder="1" applyAlignment="1">
      <alignment horizontal="left" wrapText="1"/>
    </xf>
    <xf numFmtId="1" fontId="16" fillId="0" borderId="9" xfId="0" applyNumberFormat="1" applyFont="1" applyFill="1" applyBorder="1" applyAlignment="1">
      <alignment horizontal="left" wrapText="1"/>
    </xf>
    <xf numFmtId="2" fontId="16" fillId="0" borderId="9" xfId="0" applyNumberFormat="1" applyFont="1" applyFill="1" applyBorder="1" applyAlignment="1">
      <alignment horizontal="left"/>
    </xf>
    <xf numFmtId="0" fontId="16" fillId="0" borderId="9" xfId="0" applyFont="1" applyFill="1" applyBorder="1" applyAlignment="1">
      <alignment horizontal="left" wrapText="1"/>
    </xf>
    <xf numFmtId="0" fontId="41" fillId="0" borderId="9" xfId="0" applyFont="1" applyFill="1" applyBorder="1" applyAlignment="1">
      <alignment horizontal="left"/>
    </xf>
    <xf numFmtId="0" fontId="42" fillId="0" borderId="9" xfId="3" applyFont="1" applyFill="1" applyBorder="1" applyAlignment="1">
      <alignment horizontal="left"/>
    </xf>
    <xf numFmtId="14" fontId="38" fillId="0" borderId="9" xfId="0" applyNumberFormat="1" applyFont="1" applyFill="1" applyBorder="1"/>
    <xf numFmtId="49" fontId="15" fillId="0" borderId="9" xfId="0" applyNumberFormat="1" applyFont="1" applyFill="1" applyBorder="1" applyAlignment="1">
      <alignment horizontal="left" wrapText="1"/>
    </xf>
    <xf numFmtId="1" fontId="19" fillId="0" borderId="9" xfId="0" applyNumberFormat="1" applyFont="1" applyFill="1" applyBorder="1" applyAlignment="1">
      <alignment horizontal="left" wrapText="1"/>
    </xf>
    <xf numFmtId="14" fontId="19" fillId="0" borderId="9" xfId="0" applyNumberFormat="1" applyFont="1" applyFill="1" applyBorder="1"/>
    <xf numFmtId="2" fontId="19" fillId="0" borderId="9" xfId="0" applyNumberFormat="1" applyFont="1" applyFill="1" applyBorder="1" applyAlignment="1">
      <alignment horizontal="left"/>
    </xf>
    <xf numFmtId="0" fontId="18" fillId="0" borderId="9" xfId="0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left" wrapText="1"/>
    </xf>
    <xf numFmtId="14" fontId="14" fillId="0" borderId="9" xfId="0" applyNumberFormat="1" applyFont="1" applyFill="1" applyBorder="1"/>
    <xf numFmtId="1" fontId="43" fillId="0" borderId="9" xfId="0" applyNumberFormat="1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2" borderId="9" xfId="0" applyFont="1" applyFill="1" applyBorder="1" applyAlignment="1">
      <alignment horizontal="left" wrapText="1"/>
    </xf>
    <xf numFmtId="1" fontId="15" fillId="12" borderId="9" xfId="0" applyNumberFormat="1" applyFont="1" applyFill="1" applyBorder="1" applyAlignment="1">
      <alignment horizontal="left" wrapText="1"/>
    </xf>
    <xf numFmtId="2" fontId="15" fillId="12" borderId="9" xfId="0" applyNumberFormat="1" applyFont="1" applyFill="1" applyBorder="1" applyAlignment="1">
      <alignment horizontal="left"/>
    </xf>
    <xf numFmtId="1" fontId="43" fillId="12" borderId="9" xfId="0" applyNumberFormat="1" applyFont="1" applyFill="1" applyBorder="1" applyAlignment="1">
      <alignment horizontal="left" wrapText="1"/>
    </xf>
    <xf numFmtId="0" fontId="15" fillId="12" borderId="9" xfId="0" applyFont="1" applyFill="1" applyBorder="1" applyAlignment="1">
      <alignment horizontal="left"/>
    </xf>
    <xf numFmtId="0" fontId="38" fillId="12" borderId="9" xfId="0" applyFont="1" applyFill="1" applyBorder="1" applyAlignment="1">
      <alignment horizontal="left"/>
    </xf>
    <xf numFmtId="0" fontId="38" fillId="12" borderId="9" xfId="0" applyFont="1" applyFill="1" applyBorder="1"/>
    <xf numFmtId="44" fontId="38" fillId="12" borderId="9" xfId="1" applyFont="1" applyFill="1" applyBorder="1"/>
    <xf numFmtId="2" fontId="38" fillId="12" borderId="9" xfId="0" applyNumberFormat="1" applyFont="1" applyFill="1" applyBorder="1" applyAlignment="1">
      <alignment horizontal="left"/>
    </xf>
    <xf numFmtId="44" fontId="38" fillId="12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15" fillId="13" borderId="9" xfId="0" applyNumberFormat="1" applyFont="1" applyFill="1" applyBorder="1" applyAlignment="1">
      <alignment horizontal="left"/>
    </xf>
    <xf numFmtId="1" fontId="43" fillId="13" borderId="9" xfId="0" applyNumberFormat="1" applyFont="1" applyFill="1" applyBorder="1" applyAlignment="1">
      <alignment horizontal="left" wrapText="1"/>
    </xf>
    <xf numFmtId="0" fontId="45" fillId="0" borderId="9" xfId="0" applyFont="1" applyFill="1" applyBorder="1" applyAlignment="1">
      <alignment horizontal="left" wrapText="1"/>
    </xf>
    <xf numFmtId="1" fontId="45" fillId="0" borderId="9" xfId="0" applyNumberFormat="1" applyFont="1" applyFill="1" applyBorder="1" applyAlignment="1">
      <alignment horizontal="left" wrapText="1"/>
    </xf>
    <xf numFmtId="14" fontId="45" fillId="0" borderId="9" xfId="0" applyNumberFormat="1" applyFont="1" applyFill="1" applyBorder="1"/>
    <xf numFmtId="44" fontId="45" fillId="0" borderId="9" xfId="1" applyFont="1" applyFill="1" applyBorder="1"/>
    <xf numFmtId="2" fontId="45" fillId="0" borderId="9" xfId="0" applyNumberFormat="1" applyFont="1" applyFill="1" applyBorder="1" applyAlignment="1">
      <alignment horizontal="left"/>
    </xf>
    <xf numFmtId="44" fontId="45" fillId="0" borderId="9" xfId="1" applyNumberFormat="1" applyFont="1" applyFill="1" applyBorder="1"/>
    <xf numFmtId="0" fontId="45" fillId="0" borderId="9" xfId="0" applyFont="1" applyFill="1" applyBorder="1"/>
    <xf numFmtId="0" fontId="46" fillId="0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0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3" fontId="15" fillId="7" borderId="9" xfId="2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0" fillId="0" borderId="9" xfId="0" applyFont="1" applyFill="1" applyBorder="1" applyAlignment="1">
      <alignment horizontal="left" wrapText="1"/>
    </xf>
    <xf numFmtId="1" fontId="44" fillId="0" borderId="9" xfId="0" applyNumberFormat="1" applyFont="1" applyFill="1" applyBorder="1" applyAlignment="1">
      <alignment horizontal="left" wrapText="1"/>
    </xf>
    <xf numFmtId="0" fontId="40" fillId="0" borderId="9" xfId="0" applyFont="1" applyFill="1" applyBorder="1"/>
    <xf numFmtId="44" fontId="40" fillId="0" borderId="9" xfId="1" applyFont="1" applyFill="1" applyBorder="1"/>
    <xf numFmtId="2" fontId="40" fillId="0" borderId="9" xfId="0" applyNumberFormat="1" applyFont="1" applyFill="1" applyBorder="1" applyAlignment="1">
      <alignment horizontal="left"/>
    </xf>
    <xf numFmtId="44" fontId="40" fillId="0" borderId="9" xfId="1" applyNumberFormat="1" applyFont="1" applyFill="1" applyBorder="1"/>
    <xf numFmtId="0" fontId="38" fillId="0" borderId="9" xfId="0" applyFont="1" applyFill="1" applyBorder="1" applyAlignment="1">
      <alignment horizontal="left" wrapText="1"/>
    </xf>
    <xf numFmtId="1" fontId="47" fillId="0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4" fontId="16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8" fillId="7" borderId="9" xfId="0" applyFont="1" applyFill="1" applyBorder="1"/>
    <xf numFmtId="44" fontId="38" fillId="7" borderId="9" xfId="1" applyFont="1" applyFill="1" applyBorder="1"/>
    <xf numFmtId="44" fontId="38" fillId="7" borderId="9" xfId="1" applyNumberFormat="1" applyFont="1" applyFill="1" applyBorder="1"/>
    <xf numFmtId="2" fontId="38" fillId="7" borderId="9" xfId="0" applyNumberFormat="1" applyFont="1" applyFill="1" applyBorder="1"/>
    <xf numFmtId="0" fontId="48" fillId="7" borderId="9" xfId="0" applyFont="1" applyFill="1" applyBorder="1"/>
    <xf numFmtId="9" fontId="38" fillId="0" borderId="9" xfId="4" applyFont="1" applyFill="1" applyBorder="1"/>
    <xf numFmtId="0" fontId="40" fillId="11" borderId="9" xfId="0" applyFont="1" applyFill="1" applyBorder="1"/>
    <xf numFmtId="44" fontId="40" fillId="11" borderId="9" xfId="1" applyFont="1" applyFill="1" applyBorder="1"/>
    <xf numFmtId="2" fontId="40" fillId="11" borderId="9" xfId="0" applyNumberFormat="1" applyFont="1" applyFill="1" applyBorder="1" applyAlignment="1">
      <alignment horizontal="left"/>
    </xf>
    <xf numFmtId="44" fontId="40" fillId="11" borderId="9" xfId="1" applyNumberFormat="1" applyFont="1" applyFill="1" applyBorder="1"/>
    <xf numFmtId="0" fontId="38" fillId="11" borderId="9" xfId="0" applyFont="1" applyFill="1" applyBorder="1"/>
    <xf numFmtId="44" fontId="38" fillId="11" borderId="9" xfId="1" applyFont="1" applyFill="1" applyBorder="1"/>
    <xf numFmtId="2" fontId="38" fillId="11" borderId="9" xfId="0" applyNumberFormat="1" applyFont="1" applyFill="1" applyBorder="1" applyAlignment="1">
      <alignment horizontal="left"/>
    </xf>
    <xf numFmtId="44" fontId="38" fillId="11" borderId="9" xfId="1" applyNumberFormat="1" applyFont="1" applyFill="1" applyBorder="1"/>
    <xf numFmtId="14" fontId="38" fillId="11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" fontId="38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14" fillId="0" borderId="9" xfId="1" applyNumberFormat="1" applyFont="1" applyFill="1" applyBorder="1" applyAlignment="1">
      <alignment horizontal="center"/>
    </xf>
    <xf numFmtId="165" fontId="15" fillId="7" borderId="9" xfId="1" applyNumberFormat="1" applyFont="1" applyFill="1" applyBorder="1"/>
    <xf numFmtId="165" fontId="16" fillId="0" borderId="9" xfId="1" applyNumberFormat="1" applyFont="1" applyFill="1" applyBorder="1"/>
    <xf numFmtId="165" fontId="15" fillId="0" borderId="9" xfId="1" applyNumberFormat="1" applyFont="1" applyFill="1" applyBorder="1"/>
    <xf numFmtId="165" fontId="38" fillId="7" borderId="9" xfId="1" applyNumberFormat="1" applyFont="1" applyFill="1" applyBorder="1"/>
    <xf numFmtId="165" fontId="38" fillId="0" borderId="9" xfId="0" applyNumberFormat="1" applyFont="1" applyFill="1" applyBorder="1"/>
    <xf numFmtId="165" fontId="38" fillId="13" borderId="9" xfId="0" applyNumberFormat="1" applyFont="1" applyFill="1" applyBorder="1"/>
    <xf numFmtId="165" fontId="19" fillId="0" borderId="9" xfId="1" applyNumberFormat="1" applyFont="1" applyFill="1" applyBorder="1"/>
    <xf numFmtId="165" fontId="14" fillId="0" borderId="9" xfId="1" applyNumberFormat="1" applyFont="1" applyFill="1" applyBorder="1"/>
    <xf numFmtId="165" fontId="15" fillId="11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38" fillId="7" borderId="9" xfId="0" applyNumberFormat="1" applyFont="1" applyFill="1" applyBorder="1"/>
    <xf numFmtId="0" fontId="49" fillId="7" borderId="9" xfId="0" applyFont="1" applyFill="1" applyBorder="1"/>
    <xf numFmtId="165" fontId="49" fillId="7" borderId="9" xfId="0" applyNumberFormat="1" applyFont="1" applyFill="1" applyBorder="1"/>
    <xf numFmtId="44" fontId="49" fillId="7" borderId="9" xfId="1" applyFont="1" applyFill="1" applyBorder="1"/>
    <xf numFmtId="2" fontId="49" fillId="7" borderId="9" xfId="0" applyNumberFormat="1" applyFont="1" applyFill="1" applyBorder="1"/>
    <xf numFmtId="0" fontId="49" fillId="7" borderId="0" xfId="0" applyFont="1" applyFill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7" borderId="9" xfId="0" applyFont="1" applyFill="1" applyBorder="1" applyAlignment="1">
      <alignment horizontal="left" wrapText="1"/>
    </xf>
    <xf numFmtId="44" fontId="38" fillId="0" borderId="0" xfId="1" applyFont="1" applyFill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9" fontId="15" fillId="13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1" borderId="9" xfId="0" applyFont="1" applyFill="1" applyBorder="1" applyAlignment="1">
      <alignment horizontal="left" wrapText="1"/>
    </xf>
    <xf numFmtId="1" fontId="15" fillId="11" borderId="9" xfId="0" applyNumberFormat="1" applyFont="1" applyFill="1" applyBorder="1" applyAlignment="1">
      <alignment horizontal="left" wrapText="1"/>
    </xf>
    <xf numFmtId="0" fontId="16" fillId="12" borderId="9" xfId="0" applyFont="1" applyFill="1" applyBorder="1" applyAlignment="1">
      <alignment horizontal="left" wrapText="1"/>
    </xf>
    <xf numFmtId="1" fontId="16" fillId="12" borderId="9" xfId="0" applyNumberFormat="1" applyFont="1" applyFill="1" applyBorder="1" applyAlignment="1">
      <alignment horizontal="left" wrapText="1"/>
    </xf>
    <xf numFmtId="0" fontId="16" fillId="12" borderId="9" xfId="0" applyFont="1" applyFill="1" applyBorder="1"/>
    <xf numFmtId="44" fontId="16" fillId="12" borderId="9" xfId="1" applyFont="1" applyFill="1" applyBorder="1"/>
    <xf numFmtId="2" fontId="16" fillId="12" borderId="9" xfId="0" applyNumberFormat="1" applyFont="1" applyFill="1" applyBorder="1" applyAlignment="1">
      <alignment horizontal="left"/>
    </xf>
    <xf numFmtId="44" fontId="16" fillId="12" borderId="9" xfId="1" applyNumberFormat="1" applyFont="1" applyFill="1" applyBorder="1"/>
    <xf numFmtId="0" fontId="8" fillId="12" borderId="0" xfId="0" applyFont="1" applyFill="1" applyBorder="1"/>
    <xf numFmtId="0" fontId="16" fillId="13" borderId="9" xfId="0" applyFont="1" applyFill="1" applyBorder="1" applyAlignment="1">
      <alignment horizontal="left" wrapText="1"/>
    </xf>
    <xf numFmtId="1" fontId="16" fillId="13" borderId="9" xfId="0" applyNumberFormat="1" applyFont="1" applyFill="1" applyBorder="1" applyAlignment="1">
      <alignment horizontal="left" wrapText="1"/>
    </xf>
    <xf numFmtId="0" fontId="16" fillId="13" borderId="9" xfId="0" applyFont="1" applyFill="1" applyBorder="1"/>
    <xf numFmtId="44" fontId="16" fillId="13" borderId="9" xfId="1" applyFont="1" applyFill="1" applyBorder="1"/>
    <xf numFmtId="2" fontId="16" fillId="13" borderId="9" xfId="0" applyNumberFormat="1" applyFont="1" applyFill="1" applyBorder="1" applyAlignment="1">
      <alignment horizontal="left"/>
    </xf>
    <xf numFmtId="44" fontId="16" fillId="13" borderId="9" xfId="1" applyNumberFormat="1" applyFont="1" applyFill="1" applyBorder="1"/>
    <xf numFmtId="0" fontId="8" fillId="13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0" borderId="9" xfId="1" applyNumberFormat="1" applyFont="1" applyFill="1" applyBorder="1" applyAlignment="1">
      <alignment horizontal="center"/>
    </xf>
    <xf numFmtId="164" fontId="14" fillId="0" borderId="9" xfId="1" applyNumberFormat="1" applyFont="1" applyFill="1" applyBorder="1" applyAlignment="1">
      <alignment horizontal="center"/>
    </xf>
    <xf numFmtId="164" fontId="15" fillId="7" borderId="9" xfId="1" applyNumberFormat="1" applyFont="1" applyFill="1" applyBorder="1" applyAlignment="1">
      <alignment horizontal="center"/>
    </xf>
    <xf numFmtId="164" fontId="16" fillId="0" borderId="9" xfId="1" applyNumberFormat="1" applyFont="1" applyFill="1" applyBorder="1" applyAlignment="1">
      <alignment horizontal="center"/>
    </xf>
    <xf numFmtId="164" fontId="15" fillId="0" borderId="9" xfId="1" applyNumberFormat="1" applyFont="1" applyFill="1" applyBorder="1" applyAlignment="1">
      <alignment horizontal="center"/>
    </xf>
    <xf numFmtId="164" fontId="38" fillId="7" borderId="9" xfId="1" applyNumberFormat="1" applyFont="1" applyFill="1" applyBorder="1" applyAlignment="1">
      <alignment horizontal="center"/>
    </xf>
    <xf numFmtId="164" fontId="38" fillId="0" borderId="9" xfId="1" applyNumberFormat="1" applyFont="1" applyFill="1" applyBorder="1" applyAlignment="1">
      <alignment horizontal="center"/>
    </xf>
    <xf numFmtId="164" fontId="16" fillId="13" borderId="9" xfId="1" applyNumberFormat="1" applyFont="1" applyFill="1" applyBorder="1" applyAlignment="1">
      <alignment horizontal="center"/>
    </xf>
    <xf numFmtId="164" fontId="19" fillId="0" borderId="9" xfId="1" applyNumberFormat="1" applyFont="1" applyFill="1" applyBorder="1" applyAlignment="1">
      <alignment horizontal="center"/>
    </xf>
    <xf numFmtId="164" fontId="15" fillId="11" borderId="9" xfId="1" applyNumberFormat="1" applyFont="1" applyFill="1" applyBorder="1" applyAlignment="1">
      <alignment horizontal="center"/>
    </xf>
    <xf numFmtId="0" fontId="14" fillId="0" borderId="9" xfId="0" applyNumberFormat="1" applyFont="1" applyFill="1" applyBorder="1" applyAlignment="1">
      <alignment horizontal="center"/>
    </xf>
    <xf numFmtId="0" fontId="15" fillId="7" borderId="9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5" fillId="0" borderId="9" xfId="0" applyNumberFormat="1" applyFont="1" applyFill="1" applyBorder="1" applyAlignment="1">
      <alignment horizontal="center"/>
    </xf>
    <xf numFmtId="0" fontId="38" fillId="7" borderId="9" xfId="0" applyNumberFormat="1" applyFont="1" applyFill="1" applyBorder="1" applyAlignment="1">
      <alignment horizontal="center"/>
    </xf>
    <xf numFmtId="0" fontId="38" fillId="0" borderId="9" xfId="0" applyNumberFormat="1" applyFont="1" applyFill="1" applyBorder="1" applyAlignment="1">
      <alignment horizontal="center"/>
    </xf>
    <xf numFmtId="0" fontId="16" fillId="13" borderId="9" xfId="0" applyNumberFormat="1" applyFont="1" applyFill="1" applyBorder="1" applyAlignment="1">
      <alignment horizontal="center"/>
    </xf>
    <xf numFmtId="0" fontId="19" fillId="0" borderId="9" xfId="0" applyNumberFormat="1" applyFont="1" applyFill="1" applyBorder="1" applyAlignment="1">
      <alignment horizontal="center"/>
    </xf>
    <xf numFmtId="0" fontId="15" fillId="11" borderId="9" xfId="0" applyNumberFormat="1" applyFont="1" applyFill="1" applyBorder="1" applyAlignment="1">
      <alignment horizontal="center"/>
    </xf>
    <xf numFmtId="0" fontId="0" fillId="13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11" borderId="9" xfId="0" applyNumberFormat="1" applyFont="1" applyFill="1" applyBorder="1" applyAlignment="1">
      <alignment horizontal="left" wrapText="1"/>
    </xf>
    <xf numFmtId="44" fontId="16" fillId="17" borderId="9" xfId="1" applyNumberFormat="1" applyFont="1" applyFill="1" applyBorder="1"/>
    <xf numFmtId="44" fontId="15" fillId="17" borderId="9" xfId="1" applyNumberFormat="1" applyFont="1" applyFill="1" applyBorder="1"/>
    <xf numFmtId="44" fontId="15" fillId="17" borderId="9" xfId="1" applyFont="1" applyFill="1" applyBorder="1"/>
    <xf numFmtId="44" fontId="19" fillId="17" borderId="9" xfId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9" fillId="0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50" fillId="0" borderId="9" xfId="5" applyNumberForma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9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3" fontId="38" fillId="0" borderId="9" xfId="0" applyNumberFormat="1" applyFont="1" applyFill="1" applyBorder="1"/>
    <xf numFmtId="2" fontId="16" fillId="0" borderId="9" xfId="0" applyNumberFormat="1" applyFont="1" applyFill="1" applyBorder="1" applyAlignment="1"/>
    <xf numFmtId="2" fontId="14" fillId="0" borderId="9" xfId="0" applyNumberFormat="1" applyFont="1" applyFill="1" applyBorder="1" applyAlignment="1"/>
    <xf numFmtId="2" fontId="15" fillId="7" borderId="9" xfId="0" applyNumberFormat="1" applyFont="1" applyFill="1" applyBorder="1" applyAlignment="1"/>
    <xf numFmtId="2" fontId="15" fillId="0" borderId="9" xfId="0" applyNumberFormat="1" applyFont="1" applyFill="1" applyBorder="1" applyAlignment="1"/>
    <xf numFmtId="2" fontId="15" fillId="11" borderId="9" xfId="0" applyNumberFormat="1" applyFont="1" applyFill="1" applyBorder="1" applyAlignmen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7" borderId="9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left"/>
    </xf>
    <xf numFmtId="14" fontId="15" fillId="0" borderId="9" xfId="0" applyNumberFormat="1" applyFont="1" applyFill="1" applyBorder="1" applyAlignment="1">
      <alignment horizontal="left"/>
    </xf>
    <xf numFmtId="16" fontId="15" fillId="0" borderId="9" xfId="0" applyNumberFormat="1" applyFont="1" applyFill="1" applyBorder="1" applyAlignment="1">
      <alignment horizontal="left"/>
    </xf>
    <xf numFmtId="0" fontId="38" fillId="7" borderId="9" xfId="0" applyFont="1" applyFill="1" applyBorder="1" applyAlignment="1">
      <alignment horizontal="left"/>
    </xf>
    <xf numFmtId="14" fontId="38" fillId="0" borderId="9" xfId="0" applyNumberFormat="1" applyFont="1" applyFill="1" applyBorder="1" applyAlignment="1">
      <alignment horizontal="left"/>
    </xf>
    <xf numFmtId="14" fontId="15" fillId="11" borderId="9" xfId="0" applyNumberFormat="1" applyFont="1" applyFill="1" applyBorder="1" applyAlignment="1">
      <alignment horizontal="left"/>
    </xf>
    <xf numFmtId="14" fontId="15" fillId="7" borderId="9" xfId="0" applyNumberFormat="1" applyFont="1" applyFill="1" applyBorder="1" applyAlignment="1">
      <alignment horizontal="left"/>
    </xf>
    <xf numFmtId="14" fontId="16" fillId="0" borderId="9" xfId="0" applyNumberFormat="1" applyFont="1" applyFill="1" applyBorder="1" applyAlignment="1">
      <alignment horizontal="left"/>
    </xf>
    <xf numFmtId="44" fontId="38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</cellXfs>
  <cellStyles count="6">
    <cellStyle name="Comma" xfId="2" builtinId="3"/>
    <cellStyle name="Currency" xfId="1" builtinId="4"/>
    <cellStyle name="Good" xfId="5" builtinId="26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calcChain" Target="calcChain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00000@COURT%20HOUSE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00000@COURT%20HOUSE" TargetMode="Externa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hyperlink" Target="mailto:00000@COURT%20HOUSE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00000@COURT%20HOUSE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00000@COURT%20HOUSE" TargetMode="Externa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mailto:00000@COURT%20HOUSE" TargetMode="Externa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00000@COURT%20HOUSE" TargetMode="Externa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00000@COURT%20HOUSE" TargetMode="Externa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00000@COURT%20HOUSE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00000@COURT%20HOUSE" TargetMode="Externa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mailto:00000@COURT%20HOUSE" TargetMode="Externa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mailto:00000@COURT%20HOUSE" TargetMode="Externa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mailto:00000@COURT%20HOUSE" TargetMode="Externa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00000@COURT%20HOUSE" TargetMode="Externa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00000@COURT%20HOUSE" TargetMode="Externa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00000@COURT%20HOUSE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00000@COURT%20HOUSE" TargetMode="Externa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mailto:00000@COURT%20HOUSE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00000@COURT%20HOUSE" TargetMode="Externa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hyperlink" Target="mailto:00000@COURT%20HOUSE" TargetMode="Externa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hyperlink" Target="mailto:00000@COURT%20HOUSE" TargetMode="Externa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00000@COURT%20HOUSE" TargetMode="Externa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00000@COURT%20HOUSE" TargetMode="Externa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00000@COURT%20HOUSE" TargetMode="Externa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00000@COURT%20HOUSE" TargetMode="Externa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00000@COURT%20HOUSE" TargetMode="Externa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00000@COURT%20HOUSE" TargetMode="Externa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00000@COURT%20HOUSE" TargetMode="Externa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00000@COURT%20HOUSE" TargetMode="Externa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00000@COURT%20HOUSE" TargetMode="Externa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00000@COURT%20HOUSE" TargetMode="Externa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00000@COURT%20HOUSE" TargetMode="Externa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00000@COURT%20HOUSE" TargetMode="Externa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00000@COURT%20HOUSE" TargetMode="Externa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00000@COURT%20HOUSE" TargetMode="Externa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00000@COURT%20HOUSE" TargetMode="Externa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H10" sqref="H1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2263</v>
      </c>
      <c r="D3" s="328"/>
      <c r="E3" s="763"/>
      <c r="F3" s="620">
        <v>1427.74</v>
      </c>
      <c r="G3" s="763">
        <v>1352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2261</v>
      </c>
      <c r="D4" s="269"/>
      <c r="E4" s="757"/>
      <c r="F4" s="544">
        <v>358.26</v>
      </c>
      <c r="G4" s="757">
        <v>287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2258</v>
      </c>
      <c r="D5" s="328"/>
      <c r="E5" s="763"/>
      <c r="F5" s="620">
        <v>199.54</v>
      </c>
      <c r="G5" s="763">
        <v>122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2260</v>
      </c>
      <c r="D7" s="269"/>
      <c r="E7" s="757"/>
      <c r="F7" s="544">
        <v>133.35</v>
      </c>
      <c r="G7" s="757">
        <v>39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2264</v>
      </c>
      <c r="D10" s="269"/>
      <c r="E10" s="757"/>
      <c r="F10" s="544">
        <v>83.56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2262</v>
      </c>
      <c r="D11" s="269"/>
      <c r="E11" s="757"/>
      <c r="F11" s="544">
        <v>118.97</v>
      </c>
      <c r="G11" s="757">
        <v>22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2264</v>
      </c>
      <c r="D12" s="269"/>
      <c r="E12" s="757"/>
      <c r="F12" s="544">
        <v>98.66</v>
      </c>
      <c r="G12" s="757">
        <v>22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/>
      <c r="E87" s="771"/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/>
      <c r="I107" s="749"/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2259</v>
      </c>
      <c r="D127" s="269"/>
      <c r="E127" s="757"/>
      <c r="F127" s="544"/>
      <c r="G127" s="757"/>
      <c r="H127" s="269">
        <v>65.47</v>
      </c>
      <c r="I127" s="757">
        <v>69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2259</v>
      </c>
      <c r="D129" s="269"/>
      <c r="E129" s="757"/>
      <c r="F129" s="544"/>
      <c r="G129" s="757"/>
      <c r="H129" s="269">
        <v>413.18</v>
      </c>
      <c r="I129" s="757">
        <v>567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2259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2259</v>
      </c>
      <c r="D131" s="269"/>
      <c r="E131" s="757"/>
      <c r="F131" s="544"/>
      <c r="G131" s="757"/>
      <c r="H131" s="269">
        <v>3082.26</v>
      </c>
      <c r="I131" s="757">
        <v>4056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2259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2259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2259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2259</v>
      </c>
      <c r="D135" s="269"/>
      <c r="E135" s="757"/>
      <c r="F135" s="544"/>
      <c r="G135" s="757"/>
      <c r="H135" s="269">
        <v>1213.3699999999999</v>
      </c>
      <c r="I135" s="757">
        <v>1613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2259</v>
      </c>
      <c r="D136" s="269"/>
      <c r="E136" s="757"/>
      <c r="F136" s="544"/>
      <c r="G136" s="757"/>
      <c r="H136" s="269">
        <v>355.8</v>
      </c>
      <c r="I136" s="757">
        <v>492</v>
      </c>
      <c r="J136" s="245"/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>
        <v>287.72000000000003</v>
      </c>
      <c r="I137" s="757">
        <v>403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31" activePane="bottomLeft" state="frozen"/>
      <selection pane="bottomLeft" activeCell="I145" sqref="I14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2173</v>
      </c>
      <c r="D3" s="328"/>
      <c r="E3" s="763"/>
      <c r="F3" s="620">
        <v>884.12</v>
      </c>
      <c r="G3" s="763">
        <v>1185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2175</v>
      </c>
      <c r="D4" s="269"/>
      <c r="E4" s="757"/>
      <c r="F4" s="544">
        <v>81.12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2171</v>
      </c>
      <c r="D5" s="328"/>
      <c r="E5" s="763"/>
      <c r="F5" s="620">
        <v>77.66</v>
      </c>
      <c r="G5" s="763">
        <v>14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2178</v>
      </c>
      <c r="D6" s="269"/>
      <c r="E6" s="757"/>
      <c r="F6" s="544">
        <v>77.66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2172</v>
      </c>
      <c r="D7" s="269"/>
      <c r="E7" s="757"/>
      <c r="F7" s="544">
        <v>103.69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2175</v>
      </c>
      <c r="D8" s="269"/>
      <c r="E8" s="757"/>
      <c r="F8" s="544">
        <v>79.73</v>
      </c>
      <c r="G8" s="757">
        <v>17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2177</v>
      </c>
      <c r="D9" s="269"/>
      <c r="E9" s="757"/>
      <c r="F9" s="544">
        <v>94.88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2175</v>
      </c>
      <c r="D10" s="269"/>
      <c r="E10" s="757"/>
      <c r="F10" s="544">
        <v>115.38</v>
      </c>
      <c r="G10" s="757">
        <v>56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2176</v>
      </c>
      <c r="D11" s="269"/>
      <c r="E11" s="757"/>
      <c r="F11" s="544">
        <v>101.88</v>
      </c>
      <c r="G11" s="757">
        <v>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2175</v>
      </c>
      <c r="D12" s="269"/>
      <c r="E12" s="757"/>
      <c r="F12" s="544">
        <v>68.02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2175</v>
      </c>
      <c r="D13" s="269"/>
      <c r="E13" s="757"/>
      <c r="F13" s="544">
        <v>76.98</v>
      </c>
      <c r="G13" s="757">
        <v>13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2178</v>
      </c>
      <c r="D14" s="269"/>
      <c r="E14" s="757"/>
      <c r="F14" s="544">
        <v>71.47</v>
      </c>
      <c r="G14" s="757">
        <v>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2175</v>
      </c>
      <c r="D15" s="269"/>
      <c r="E15" s="757"/>
      <c r="F15" s="544">
        <v>216.08</v>
      </c>
      <c r="G15" s="757">
        <v>215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2181</v>
      </c>
      <c r="D16" s="269"/>
      <c r="E16" s="757"/>
      <c r="F16" s="544">
        <v>33.29</v>
      </c>
      <c r="G16" s="757">
        <v>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2181</v>
      </c>
      <c r="D17" s="269"/>
      <c r="E17" s="757"/>
      <c r="F17" s="544">
        <v>68.010000000000005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278.91000000000003</v>
      </c>
      <c r="E19" s="546">
        <f>3518+11</f>
        <v>3529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65.69</v>
      </c>
      <c r="E21" s="546">
        <v>809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17.07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85.28</v>
      </c>
      <c r="E23" s="546">
        <v>1053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1138.28</v>
      </c>
      <c r="E24" s="546">
        <f>14520+48</f>
        <v>14568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13.49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91.74</v>
      </c>
      <c r="E26" s="546">
        <v>1150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17.36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16.91</v>
      </c>
      <c r="E28" s="546">
        <v>134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326.27999999999997</v>
      </c>
      <c r="E29" s="546">
        <f>3616+15</f>
        <v>3631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730.36</v>
      </c>
      <c r="E30" s="546">
        <f>9320+32</f>
        <v>9352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17.420000000000002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21.96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682.42</v>
      </c>
      <c r="E33" s="546">
        <f>8100+30</f>
        <v>8130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10.79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147.88999999999999</v>
      </c>
      <c r="E35" s="546">
        <f>61+12</f>
        <v>73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15.97</v>
      </c>
      <c r="E36" s="546">
        <v>121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5097.1099999999997</v>
      </c>
      <c r="E37" s="546">
        <f>83400+170</f>
        <v>83570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12.47</v>
      </c>
      <c r="E38" s="546">
        <v>74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401.04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19.93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14.71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17.579999999999998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1714.1</v>
      </c>
      <c r="E43" s="546">
        <f>22860+76</f>
        <v>22936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10.79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8.33</v>
      </c>
      <c r="E45" s="546">
        <v>18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105.71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57.79</v>
      </c>
      <c r="E48" s="546">
        <v>689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346.57</v>
      </c>
      <c r="E49" s="546">
        <f>3196+19</f>
        <v>3215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10.88</v>
      </c>
      <c r="E50" s="546">
        <v>52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444.65</v>
      </c>
      <c r="E51" s="546">
        <f>5990+17</f>
        <v>6007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230.76</v>
      </c>
      <c r="E52" s="546">
        <v>2770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131.81</v>
      </c>
      <c r="E53" s="546">
        <v>450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1455.61</v>
      </c>
      <c r="E54" s="546">
        <f>20100+65</f>
        <v>20165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6.94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215.19</v>
      </c>
      <c r="E56" s="546">
        <f>1451+13</f>
        <v>1464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1220.1199999999999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449.99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22.93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291.41000000000003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207.05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821.98</v>
      </c>
      <c r="E62" s="546">
        <v>4400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624.03</v>
      </c>
      <c r="E64" s="546">
        <f>4853+34</f>
        <v>4887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1168.82</v>
      </c>
      <c r="E65" s="546">
        <f>17885+43</f>
        <v>17928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358.35</v>
      </c>
      <c r="E66" s="546">
        <f>2160+22</f>
        <v>2182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335.68</v>
      </c>
      <c r="E67" s="546">
        <f>3313+18</f>
        <v>3331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2180</v>
      </c>
      <c r="D69" s="269">
        <v>371</v>
      </c>
      <c r="E69" s="757">
        <v>3313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169</v>
      </c>
      <c r="E70" s="757">
        <v>1087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93</v>
      </c>
      <c r="E71" s="757">
        <v>322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56</v>
      </c>
      <c r="E72" s="757">
        <v>158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41</v>
      </c>
      <c r="E73" s="757">
        <v>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271</v>
      </c>
      <c r="E74" s="757">
        <v>2114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146</v>
      </c>
      <c r="E75" s="757">
        <v>1114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60</v>
      </c>
      <c r="E76" s="757">
        <v>195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97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50</v>
      </c>
      <c r="E79" s="757">
        <v>97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74</v>
      </c>
      <c r="E80" s="757">
        <v>138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1632</v>
      </c>
      <c r="E81" s="757">
        <v>11880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100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594</v>
      </c>
      <c r="E85" s="757">
        <v>4500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253</v>
      </c>
      <c r="E86" s="757">
        <v>1680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286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198</v>
      </c>
      <c r="E88" s="757">
        <v>777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131</v>
      </c>
      <c r="E90" s="757">
        <v>509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179</v>
      </c>
      <c r="E91" s="757">
        <v>1389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224.15</v>
      </c>
      <c r="E92" s="757">
        <v>1647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1966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270</v>
      </c>
      <c r="E94" s="757">
        <v>2106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2188</v>
      </c>
      <c r="D96" s="269"/>
      <c r="E96" s="757"/>
      <c r="F96" s="544"/>
      <c r="G96" s="757"/>
      <c r="H96" s="269">
        <v>83.32</v>
      </c>
      <c r="I96" s="757">
        <v>102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247.24</v>
      </c>
      <c r="I97" s="757">
        <v>346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48.38</v>
      </c>
      <c r="I98" s="757">
        <v>37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114.47</v>
      </c>
      <c r="I100" s="757">
        <v>150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45.71</v>
      </c>
      <c r="I101" s="757">
        <v>32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47.31</v>
      </c>
      <c r="I102" s="757">
        <v>35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83.97</v>
      </c>
      <c r="I104" s="757">
        <v>103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67.069999999999993</v>
      </c>
      <c r="I105" s="757">
        <v>72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41.44</v>
      </c>
      <c r="I107" s="749">
        <v>24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7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11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48.91</v>
      </c>
      <c r="I110" s="757">
        <v>38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10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2132.9</v>
      </c>
      <c r="I115" s="757">
        <v>2815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534.04999999999995</v>
      </c>
      <c r="I116" s="757">
        <v>725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63.33</v>
      </c>
      <c r="I117" s="757">
        <v>65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53.72</v>
      </c>
      <c r="I118" s="757">
        <v>47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2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51.05</v>
      </c>
      <c r="I120" s="757">
        <v>42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241.59</v>
      </c>
      <c r="I122" s="757">
        <v>338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44.64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2170</v>
      </c>
      <c r="D127" s="269"/>
      <c r="E127" s="757"/>
      <c r="F127" s="544"/>
      <c r="G127" s="757"/>
      <c r="H127" s="269">
        <v>66</v>
      </c>
      <c r="I127" s="757">
        <v>70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155.36000000000001</v>
      </c>
      <c r="I128" s="757">
        <v>213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2170</v>
      </c>
      <c r="D129" s="269"/>
      <c r="E129" s="757"/>
      <c r="F129" s="544"/>
      <c r="G129" s="757"/>
      <c r="H129" s="269">
        <v>70.27</v>
      </c>
      <c r="I129" s="757">
        <v>78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2170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2170</v>
      </c>
      <c r="D131" s="269"/>
      <c r="E131" s="757"/>
      <c r="F131" s="544"/>
      <c r="G131" s="757"/>
      <c r="H131" s="269">
        <v>2331.8000000000002</v>
      </c>
      <c r="I131" s="757">
        <v>3075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2170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2170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2170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2170</v>
      </c>
      <c r="D135" s="269"/>
      <c r="E135" s="757"/>
      <c r="F135" s="544"/>
      <c r="G135" s="757"/>
      <c r="H135" s="269">
        <v>255.02</v>
      </c>
      <c r="I135" s="757">
        <v>357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2170</v>
      </c>
      <c r="D136" s="269"/>
      <c r="E136" s="757"/>
      <c r="F136" s="544"/>
      <c r="G136" s="757"/>
      <c r="H136" s="269">
        <v>267.04000000000002</v>
      </c>
      <c r="I136" s="757">
        <v>374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2170</v>
      </c>
      <c r="D137" s="269"/>
      <c r="E137" s="757"/>
      <c r="F137" s="544"/>
      <c r="G137" s="757"/>
      <c r="H137" s="269">
        <v>308.37</v>
      </c>
      <c r="I137" s="757">
        <v>430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2179</v>
      </c>
      <c r="D143" s="269"/>
      <c r="E143" s="757"/>
      <c r="F143" s="544"/>
      <c r="G143" s="757"/>
      <c r="H143" s="269">
        <v>35</v>
      </c>
      <c r="I143" s="757">
        <v>70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 t="s">
        <v>2185</v>
      </c>
      <c r="D144" s="250"/>
      <c r="E144" s="750"/>
      <c r="F144" s="543"/>
      <c r="G144" s="750"/>
      <c r="H144" s="250">
        <v>68.540000000000006</v>
      </c>
      <c r="I144" s="750">
        <v>112440</v>
      </c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8"/>
  <sheetViews>
    <sheetView zoomScale="115" zoomScaleNormal="115" workbookViewId="0">
      <pane ySplit="2" topLeftCell="A18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1460</v>
      </c>
      <c r="D3" s="328"/>
      <c r="E3" s="763"/>
      <c r="F3" s="620">
        <v>522.12</v>
      </c>
      <c r="G3" s="763">
        <v>905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1458</v>
      </c>
      <c r="D4" s="269"/>
      <c r="E4" s="757"/>
      <c r="F4" s="544">
        <v>55.16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1457</v>
      </c>
      <c r="D5" s="328"/>
      <c r="E5" s="763"/>
      <c r="F5" s="620">
        <v>56.73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1459</v>
      </c>
      <c r="D6" s="269"/>
      <c r="E6" s="757"/>
      <c r="F6" s="544">
        <v>52.53</v>
      </c>
      <c r="G6" s="757">
        <v>12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1457</v>
      </c>
      <c r="D7" s="269"/>
      <c r="E7" s="757"/>
      <c r="F7" s="544">
        <v>46.18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1457</v>
      </c>
      <c r="D8" s="269"/>
      <c r="E8" s="757"/>
      <c r="F8" s="544">
        <v>50.53</v>
      </c>
      <c r="G8" s="757">
        <v>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1458</v>
      </c>
      <c r="D9" s="269"/>
      <c r="E9" s="757"/>
      <c r="F9" s="544">
        <v>91.44</v>
      </c>
      <c r="G9" s="757">
        <v>86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1458</v>
      </c>
      <c r="D10" s="269"/>
      <c r="E10" s="757"/>
      <c r="F10" s="544">
        <v>66.72</v>
      </c>
      <c r="G10" s="757">
        <v>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48.98</v>
      </c>
      <c r="G11" s="757">
        <v>1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1457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1458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1458</v>
      </c>
      <c r="D14" s="269"/>
      <c r="E14" s="757"/>
      <c r="F14" s="544">
        <v>47.27</v>
      </c>
      <c r="G14" s="757">
        <v>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1459</v>
      </c>
      <c r="D15" s="269"/>
      <c r="E15" s="757"/>
      <c r="F15" s="544">
        <v>52.01</v>
      </c>
      <c r="G15" s="757">
        <v>11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1458</v>
      </c>
      <c r="D16" s="269"/>
      <c r="E16" s="757"/>
      <c r="F16" s="544">
        <v>45.17</v>
      </c>
      <c r="G16" s="757">
        <v>25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1466</v>
      </c>
      <c r="D17" s="269"/>
      <c r="E17" s="757"/>
      <c r="F17" s="544">
        <v>32.17</v>
      </c>
      <c r="G17" s="757">
        <v>15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1466</v>
      </c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43" t="s">
        <v>1467</v>
      </c>
      <c r="B20" s="844">
        <v>5219001475</v>
      </c>
      <c r="C20" s="546" t="s">
        <v>1469</v>
      </c>
      <c r="D20" s="618">
        <v>9.2200000000000006</v>
      </c>
      <c r="E20" s="754">
        <v>9</v>
      </c>
      <c r="F20" s="548"/>
      <c r="G20" s="754"/>
      <c r="H20" s="618"/>
      <c r="I20" s="754"/>
      <c r="J20" s="546"/>
      <c r="K20" s="546" t="s">
        <v>1468</v>
      </c>
      <c r="L20" s="546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1477</v>
      </c>
      <c r="D21" s="618">
        <v>28.56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1477</v>
      </c>
      <c r="D22" s="618">
        <v>190.96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1477</v>
      </c>
      <c r="D23" s="618">
        <v>869.33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1474</v>
      </c>
      <c r="D24" s="618">
        <v>15.25</v>
      </c>
      <c r="E24" s="754">
        <v>25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1477</v>
      </c>
      <c r="D25" s="618">
        <v>16.760000000000002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1470</v>
      </c>
      <c r="D26" s="618">
        <v>1921</v>
      </c>
      <c r="E26" s="754">
        <v>185.31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1471</v>
      </c>
      <c r="D27" s="618">
        <v>7180.01</v>
      </c>
      <c r="E27" s="754">
        <v>101800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1477</v>
      </c>
      <c r="D28" s="618">
        <v>444.35</v>
      </c>
      <c r="E28" s="754">
        <v>3636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1471</v>
      </c>
      <c r="D29" s="618">
        <v>420.73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1475</v>
      </c>
      <c r="D30" s="618">
        <v>312.35000000000002</v>
      </c>
      <c r="E30" s="754">
        <v>1040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1477</v>
      </c>
      <c r="D31" s="618">
        <v>1162.76</v>
      </c>
      <c r="E31" s="754">
        <v>10080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1475</v>
      </c>
      <c r="D32" s="618">
        <v>879.49</v>
      </c>
      <c r="E32" s="754">
        <v>9700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1477</v>
      </c>
      <c r="D33" s="618">
        <v>1809.32</v>
      </c>
      <c r="E33" s="754">
        <v>18240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1472</v>
      </c>
      <c r="D34" s="618">
        <v>23.39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1477</v>
      </c>
      <c r="D35" s="618">
        <v>13.94</v>
      </c>
      <c r="E35" s="754">
        <v>9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1477</v>
      </c>
      <c r="D36" s="618">
        <v>19.57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1476</v>
      </c>
      <c r="D37" s="618">
        <v>595.36</v>
      </c>
      <c r="E37" s="754">
        <v>1957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1476</v>
      </c>
      <c r="D38" s="618">
        <v>180.79</v>
      </c>
      <c r="E38" s="754">
        <v>1904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1471</v>
      </c>
      <c r="D39" s="618">
        <v>472.34</v>
      </c>
      <c r="E39" s="754">
        <v>4803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1475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1475</v>
      </c>
      <c r="D41" s="618">
        <v>24.87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1472</v>
      </c>
      <c r="D42" s="618">
        <v>45.48</v>
      </c>
      <c r="E42" s="754">
        <v>392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1474</v>
      </c>
      <c r="D43" s="618">
        <v>17.489999999999998</v>
      </c>
      <c r="E43" s="754">
        <v>51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1477</v>
      </c>
      <c r="D44" s="618">
        <v>16.760000000000002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1477</v>
      </c>
      <c r="D45" s="618">
        <v>20.059999999999999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1471</v>
      </c>
      <c r="D46" s="618">
        <v>26.24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1476</v>
      </c>
      <c r="D47" s="618">
        <v>637.72</v>
      </c>
      <c r="E47" s="754">
        <v>1893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1477</v>
      </c>
      <c r="D48" s="618">
        <v>362.83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1477</v>
      </c>
      <c r="D49" s="618">
        <v>261.52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1477</v>
      </c>
      <c r="D50" s="618">
        <v>1803.61</v>
      </c>
      <c r="E50" s="754">
        <v>18180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1476</v>
      </c>
      <c r="D51" s="618">
        <v>24.87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1475</v>
      </c>
      <c r="D52" s="618">
        <v>29.37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1472</v>
      </c>
      <c r="D53" s="618">
        <v>94.64</v>
      </c>
      <c r="E53" s="754">
        <v>882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1476</v>
      </c>
      <c r="D54" s="618">
        <v>129.88999999999999</v>
      </c>
      <c r="E54" s="754">
        <v>1326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1477</v>
      </c>
      <c r="D55" s="618">
        <v>24.55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1475</v>
      </c>
      <c r="D56" s="618">
        <v>17.32</v>
      </c>
      <c r="E56" s="754">
        <v>48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1473</v>
      </c>
      <c r="D57" s="618">
        <v>26.07</v>
      </c>
      <c r="E57" s="754">
        <v>150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1474</v>
      </c>
      <c r="D58" s="618">
        <v>116.51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1476</v>
      </c>
      <c r="D59" s="618">
        <v>903.56</v>
      </c>
      <c r="E59" s="754">
        <v>9240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1475</v>
      </c>
      <c r="D60" s="618">
        <v>306.67</v>
      </c>
      <c r="E60" s="754">
        <v>2481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1472</v>
      </c>
      <c r="D61" s="618">
        <v>101.29</v>
      </c>
      <c r="E61" s="754">
        <v>1066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1476</v>
      </c>
      <c r="D62" s="618">
        <v>26.24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1477</v>
      </c>
      <c r="D63" s="618">
        <v>741.41</v>
      </c>
      <c r="E63" s="754">
        <v>6535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1477</v>
      </c>
      <c r="D64" s="618">
        <v>27.28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1474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1477</v>
      </c>
      <c r="D66" s="618">
        <v>1186.1500000000001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1471</v>
      </c>
      <c r="D67" s="618">
        <v>34.880000000000003</v>
      </c>
      <c r="E67" s="754">
        <v>262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1471</v>
      </c>
      <c r="D68" s="618">
        <v>115.12</v>
      </c>
      <c r="E68" s="754">
        <v>1228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1463</v>
      </c>
      <c r="D70" s="269">
        <v>244</v>
      </c>
      <c r="E70" s="757">
        <v>2633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1463</v>
      </c>
      <c r="D71" s="269">
        <v>136</v>
      </c>
      <c r="E71" s="757">
        <v>1050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1463</v>
      </c>
      <c r="D72" s="269">
        <v>111</v>
      </c>
      <c r="E72" s="757">
        <v>749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1463</v>
      </c>
      <c r="D73" s="269">
        <v>38</v>
      </c>
      <c r="E73" s="757">
        <v>110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1463</v>
      </c>
      <c r="D74" s="269">
        <v>38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1463</v>
      </c>
      <c r="D75" s="269">
        <v>232</v>
      </c>
      <c r="E75" s="757">
        <v>2235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1463</v>
      </c>
      <c r="D76" s="269">
        <v>83</v>
      </c>
      <c r="E76" s="757">
        <v>749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1463</v>
      </c>
      <c r="D77" s="269">
        <v>50</v>
      </c>
      <c r="E77" s="757">
        <v>239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1463</v>
      </c>
      <c r="D78" s="269">
        <v>73</v>
      </c>
      <c r="E78" s="757">
        <v>281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1463</v>
      </c>
      <c r="D79" s="269">
        <v>31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1463</v>
      </c>
      <c r="D80" s="269">
        <v>31</v>
      </c>
      <c r="E80" s="757">
        <v>12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1463</v>
      </c>
      <c r="D81" s="269">
        <v>55.11</v>
      </c>
      <c r="E81" s="757">
        <v>63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1463</v>
      </c>
      <c r="D82" s="328">
        <v>128</v>
      </c>
      <c r="E82" s="763">
        <v>1022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1463</v>
      </c>
      <c r="D83" s="269">
        <v>1187</v>
      </c>
      <c r="E83" s="757">
        <v>15000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1463</v>
      </c>
      <c r="D85" s="269">
        <v>87</v>
      </c>
      <c r="E85" s="757">
        <v>3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1463</v>
      </c>
      <c r="D86" s="269">
        <v>30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1463</v>
      </c>
      <c r="D87" s="269">
        <v>39</v>
      </c>
      <c r="E87" s="757">
        <v>18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1463</v>
      </c>
      <c r="D88" s="269">
        <v>232</v>
      </c>
      <c r="E88" s="757">
        <v>1200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1463</v>
      </c>
      <c r="D89" s="269">
        <v>202</v>
      </c>
      <c r="E89" s="757">
        <v>1440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1462</v>
      </c>
      <c r="D90" s="674">
        <v>252</v>
      </c>
      <c r="E90" s="771">
        <v>34.659999999999997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1463</v>
      </c>
      <c r="D91" s="269">
        <v>152</v>
      </c>
      <c r="E91" s="757">
        <v>765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1463</v>
      </c>
      <c r="D92" s="269">
        <v>59</v>
      </c>
      <c r="E92" s="757">
        <v>103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1463</v>
      </c>
      <c r="D93" s="269">
        <v>95</v>
      </c>
      <c r="E93" s="757">
        <v>590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1463</v>
      </c>
      <c r="D94" s="269">
        <v>0</v>
      </c>
      <c r="E94" s="757">
        <v>30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1463</v>
      </c>
      <c r="D95" s="269">
        <v>1611</v>
      </c>
      <c r="E95" s="757">
        <v>24120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1463</v>
      </c>
      <c r="D96" s="269">
        <v>50</v>
      </c>
      <c r="E96" s="757">
        <v>0</v>
      </c>
      <c r="F96" s="544"/>
      <c r="G96" s="757"/>
      <c r="H96" s="269"/>
      <c r="I96" s="757"/>
      <c r="J96" s="245"/>
      <c r="K96" s="245"/>
      <c r="L96" s="245"/>
    </row>
    <row r="97" spans="1:36" s="184" customFormat="1" x14ac:dyDescent="0.25">
      <c r="A97" s="695" t="s">
        <v>702</v>
      </c>
      <c r="B97" s="681">
        <v>1322725900</v>
      </c>
      <c r="C97" s="289" t="s">
        <v>1464</v>
      </c>
      <c r="D97" s="269">
        <v>3.57</v>
      </c>
      <c r="E97" s="757">
        <v>0</v>
      </c>
      <c r="F97" s="544"/>
      <c r="G97" s="757"/>
      <c r="H97" s="269"/>
      <c r="I97" s="757"/>
      <c r="J97" s="245"/>
      <c r="K97" s="245"/>
      <c r="L97" s="245"/>
    </row>
    <row r="98" spans="1:36" s="199" customFormat="1" x14ac:dyDescent="0.25">
      <c r="A98" s="698" t="s">
        <v>434</v>
      </c>
      <c r="B98" s="687"/>
      <c r="C98" s="249"/>
      <c r="D98" s="250"/>
      <c r="E98" s="750"/>
      <c r="F98" s="543"/>
      <c r="G98" s="750"/>
      <c r="H98" s="250"/>
      <c r="I98" s="750"/>
      <c r="J98" s="249"/>
      <c r="K98" s="249"/>
      <c r="L98" s="24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</row>
    <row r="99" spans="1:36" s="184" customFormat="1" x14ac:dyDescent="0.25">
      <c r="A99" s="695" t="s">
        <v>65</v>
      </c>
      <c r="B99" s="681" t="s">
        <v>163</v>
      </c>
      <c r="C99" s="245" t="s">
        <v>1463</v>
      </c>
      <c r="D99" s="269"/>
      <c r="E99" s="757"/>
      <c r="F99" s="544"/>
      <c r="G99" s="757"/>
      <c r="H99" s="269">
        <v>143.03</v>
      </c>
      <c r="I99" s="757">
        <v>194</v>
      </c>
      <c r="J99" s="245"/>
      <c r="K99" s="245"/>
      <c r="L99" s="245"/>
    </row>
    <row r="100" spans="1:36" s="184" customFormat="1" x14ac:dyDescent="0.25">
      <c r="A100" s="695" t="s">
        <v>37</v>
      </c>
      <c r="B100" s="681" t="s">
        <v>190</v>
      </c>
      <c r="C100" s="289" t="s">
        <v>1463</v>
      </c>
      <c r="D100" s="269"/>
      <c r="E100" s="757"/>
      <c r="F100" s="544"/>
      <c r="G100" s="757"/>
      <c r="H100" s="269">
        <v>267.04000000000002</v>
      </c>
      <c r="I100" s="757">
        <v>374</v>
      </c>
      <c r="J100" s="245"/>
      <c r="K100" s="245"/>
      <c r="L100" s="245"/>
    </row>
    <row r="101" spans="1:36" s="184" customFormat="1" x14ac:dyDescent="0.25">
      <c r="A101" s="695" t="s">
        <v>71</v>
      </c>
      <c r="B101" s="681" t="s">
        <v>188</v>
      </c>
      <c r="C101" s="245" t="s">
        <v>1463</v>
      </c>
      <c r="D101" s="269"/>
      <c r="E101" s="757"/>
      <c r="F101" s="544"/>
      <c r="G101" s="757"/>
      <c r="H101" s="269">
        <v>39.299999999999997</v>
      </c>
      <c r="I101" s="757">
        <v>18</v>
      </c>
      <c r="J101" s="245"/>
      <c r="K101" s="245"/>
      <c r="L101" s="245"/>
    </row>
    <row r="102" spans="1:36" s="184" customFormat="1" x14ac:dyDescent="0.25">
      <c r="A102" s="695" t="s">
        <v>72</v>
      </c>
      <c r="B102" s="681" t="s">
        <v>187</v>
      </c>
      <c r="C102" s="245" t="s">
        <v>1463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36" s="184" customFormat="1" x14ac:dyDescent="0.25">
      <c r="A103" s="695" t="s">
        <v>73</v>
      </c>
      <c r="B103" s="681" t="s">
        <v>171</v>
      </c>
      <c r="C103" s="245" t="s">
        <v>1463</v>
      </c>
      <c r="D103" s="269"/>
      <c r="E103" s="757"/>
      <c r="F103" s="544"/>
      <c r="G103" s="757"/>
      <c r="H103" s="269">
        <v>49.45</v>
      </c>
      <c r="I103" s="757">
        <v>39</v>
      </c>
      <c r="J103" s="245"/>
      <c r="K103" s="245"/>
      <c r="L103" s="245"/>
    </row>
    <row r="104" spans="1:36" s="184" customFormat="1" x14ac:dyDescent="0.25">
      <c r="A104" s="695" t="s">
        <v>74</v>
      </c>
      <c r="B104" s="681" t="s">
        <v>170</v>
      </c>
      <c r="C104" s="245" t="s">
        <v>1463</v>
      </c>
      <c r="D104" s="269"/>
      <c r="E104" s="757"/>
      <c r="F104" s="544"/>
      <c r="G104" s="757"/>
      <c r="H104" s="269">
        <v>39.299999999999997</v>
      </c>
      <c r="I104" s="757">
        <v>12</v>
      </c>
      <c r="J104" s="245"/>
      <c r="K104" s="245"/>
      <c r="L104" s="245"/>
    </row>
    <row r="105" spans="1:36" s="184" customFormat="1" x14ac:dyDescent="0.25">
      <c r="A105" s="695" t="s">
        <v>75</v>
      </c>
      <c r="B105" s="681" t="s">
        <v>189</v>
      </c>
      <c r="C105" s="245" t="s">
        <v>1463</v>
      </c>
      <c r="D105" s="269"/>
      <c r="E105" s="757"/>
      <c r="F105" s="544"/>
      <c r="G105" s="757"/>
      <c r="H105" s="269">
        <v>71.87</v>
      </c>
      <c r="I105" s="757">
        <v>81</v>
      </c>
      <c r="J105" s="245"/>
      <c r="K105" s="245"/>
      <c r="L105" s="245"/>
    </row>
    <row r="106" spans="1:36" s="184" customFormat="1" x14ac:dyDescent="0.25">
      <c r="A106" s="695" t="s">
        <v>76</v>
      </c>
      <c r="B106" s="681" t="s">
        <v>169</v>
      </c>
      <c r="C106" s="245" t="s">
        <v>1463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77</v>
      </c>
      <c r="B107" s="681" t="s">
        <v>168</v>
      </c>
      <c r="C107" s="245" t="s">
        <v>1463</v>
      </c>
      <c r="D107" s="269"/>
      <c r="E107" s="757"/>
      <c r="F107" s="544"/>
      <c r="G107" s="757"/>
      <c r="H107" s="269">
        <v>117.72</v>
      </c>
      <c r="I107" s="757">
        <v>155</v>
      </c>
      <c r="J107" s="245"/>
      <c r="K107" s="245"/>
      <c r="L107" s="245"/>
    </row>
    <row r="108" spans="1:36" s="184" customFormat="1" x14ac:dyDescent="0.25">
      <c r="A108" s="695" t="s">
        <v>78</v>
      </c>
      <c r="B108" s="681" t="s">
        <v>197</v>
      </c>
      <c r="C108" s="245" t="s">
        <v>1463</v>
      </c>
      <c r="D108" s="269"/>
      <c r="E108" s="757"/>
      <c r="F108" s="544"/>
      <c r="G108" s="757"/>
      <c r="H108" s="269">
        <v>40.369999999999997</v>
      </c>
      <c r="I108" s="757">
        <v>22</v>
      </c>
      <c r="J108" s="245"/>
      <c r="K108" s="245"/>
      <c r="L108" s="245"/>
    </row>
    <row r="109" spans="1:36" s="184" customFormat="1" x14ac:dyDescent="0.25">
      <c r="A109" s="695" t="s">
        <v>79</v>
      </c>
      <c r="B109" s="681" t="s">
        <v>167</v>
      </c>
      <c r="C109" s="289" t="s">
        <v>1463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36" s="184" customFormat="1" x14ac:dyDescent="0.25">
      <c r="A110" s="772" t="s">
        <v>80</v>
      </c>
      <c r="B110" s="773" t="s">
        <v>177</v>
      </c>
      <c r="C110" s="774" t="s">
        <v>1463</v>
      </c>
      <c r="D110" s="242"/>
      <c r="E110" s="749"/>
      <c r="F110" s="542"/>
      <c r="G110" s="749"/>
      <c r="H110" s="242">
        <v>39.299999999999997</v>
      </c>
      <c r="I110" s="749">
        <v>0</v>
      </c>
      <c r="J110" s="240"/>
      <c r="K110" s="245"/>
      <c r="L110" s="245"/>
    </row>
    <row r="111" spans="1:36" s="184" customFormat="1" x14ac:dyDescent="0.25">
      <c r="A111" s="695" t="s">
        <v>81</v>
      </c>
      <c r="B111" s="681" t="s">
        <v>180</v>
      </c>
      <c r="C111" s="245" t="s">
        <v>1463</v>
      </c>
      <c r="D111" s="269"/>
      <c r="E111" s="757"/>
      <c r="F111" s="544"/>
      <c r="G111" s="757"/>
      <c r="H111" s="269">
        <v>238.76</v>
      </c>
      <c r="I111" s="757">
        <v>334</v>
      </c>
      <c r="J111" s="245"/>
      <c r="K111" s="245"/>
      <c r="L111" s="245"/>
    </row>
    <row r="112" spans="1:36" s="184" customFormat="1" x14ac:dyDescent="0.25">
      <c r="A112" s="695" t="s">
        <v>82</v>
      </c>
      <c r="B112" s="681" t="s">
        <v>179</v>
      </c>
      <c r="C112" s="245" t="s">
        <v>1463</v>
      </c>
      <c r="D112" s="269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83</v>
      </c>
      <c r="B113" s="681" t="s">
        <v>178</v>
      </c>
      <c r="C113" s="289" t="s">
        <v>1463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84</v>
      </c>
      <c r="B114" s="681" t="s">
        <v>175</v>
      </c>
      <c r="C114" s="289" t="s">
        <v>1463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85</v>
      </c>
      <c r="B115" s="681" t="s">
        <v>184</v>
      </c>
      <c r="C115" s="245" t="s">
        <v>1463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86</v>
      </c>
      <c r="B116" s="681" t="s">
        <v>185</v>
      </c>
      <c r="C116" s="245" t="s">
        <v>1463</v>
      </c>
      <c r="D116" s="269"/>
      <c r="E116" s="757"/>
      <c r="F116" s="544"/>
      <c r="G116" s="757"/>
      <c r="H116" s="269">
        <v>39.299999999999997</v>
      </c>
      <c r="I116" s="757">
        <v>7</v>
      </c>
      <c r="J116" s="245"/>
      <c r="K116" s="245"/>
      <c r="L116" s="245"/>
    </row>
    <row r="117" spans="1:12" s="184" customFormat="1" x14ac:dyDescent="0.25">
      <c r="A117" s="695" t="s">
        <v>87</v>
      </c>
      <c r="B117" s="681" t="s">
        <v>181</v>
      </c>
      <c r="C117" s="245" t="s">
        <v>1463</v>
      </c>
      <c r="D117" s="269"/>
      <c r="E117" s="757"/>
      <c r="F117" s="544"/>
      <c r="G117" s="757"/>
      <c r="H117" s="269">
        <v>42.5</v>
      </c>
      <c r="I117" s="757">
        <v>26</v>
      </c>
      <c r="J117" s="245"/>
      <c r="K117" s="245"/>
      <c r="L117" s="245"/>
    </row>
    <row r="118" spans="1:12" s="184" customFormat="1" x14ac:dyDescent="0.25">
      <c r="A118" s="695" t="s">
        <v>88</v>
      </c>
      <c r="B118" s="681" t="s">
        <v>172</v>
      </c>
      <c r="C118" s="289" t="s">
        <v>1463</v>
      </c>
      <c r="D118" s="269"/>
      <c r="E118" s="757"/>
      <c r="F118" s="544"/>
      <c r="G118" s="757"/>
      <c r="H118" s="269">
        <v>1416.09</v>
      </c>
      <c r="I118" s="757">
        <v>1878</v>
      </c>
      <c r="J118" s="245"/>
      <c r="K118" s="245"/>
      <c r="L118" s="245"/>
    </row>
    <row r="119" spans="1:12" s="184" customFormat="1" x14ac:dyDescent="0.25">
      <c r="A119" s="695" t="s">
        <v>89</v>
      </c>
      <c r="B119" s="681" t="s">
        <v>173</v>
      </c>
      <c r="C119" s="245" t="s">
        <v>1463</v>
      </c>
      <c r="D119" s="269"/>
      <c r="E119" s="757"/>
      <c r="F119" s="544"/>
      <c r="G119" s="757"/>
      <c r="H119" s="269">
        <v>125.5</v>
      </c>
      <c r="I119" s="757">
        <v>167</v>
      </c>
      <c r="J119" s="245"/>
      <c r="K119" s="245"/>
      <c r="L119" s="245"/>
    </row>
    <row r="120" spans="1:12" s="184" customFormat="1" x14ac:dyDescent="0.25">
      <c r="A120" s="695" t="s">
        <v>90</v>
      </c>
      <c r="B120" s="681" t="s">
        <v>174</v>
      </c>
      <c r="C120" s="245" t="s">
        <v>1463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91</v>
      </c>
      <c r="B121" s="681" t="s">
        <v>182</v>
      </c>
      <c r="C121" s="245" t="s">
        <v>1463</v>
      </c>
      <c r="D121" s="269"/>
      <c r="E121" s="757"/>
      <c r="F121" s="544"/>
      <c r="G121" s="757"/>
      <c r="H121" s="269">
        <v>43.04</v>
      </c>
      <c r="I121" s="757">
        <v>27</v>
      </c>
      <c r="J121" s="245"/>
      <c r="K121" s="245"/>
      <c r="L121" s="245"/>
    </row>
    <row r="122" spans="1:12" s="184" customFormat="1" x14ac:dyDescent="0.25">
      <c r="A122" s="695" t="s">
        <v>92</v>
      </c>
      <c r="B122" s="681" t="s">
        <v>186</v>
      </c>
      <c r="C122" s="245" t="s">
        <v>1463</v>
      </c>
      <c r="D122" s="269"/>
      <c r="E122" s="757"/>
      <c r="F122" s="544"/>
      <c r="G122" s="757"/>
      <c r="H122" s="269">
        <v>39.299999999999997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93</v>
      </c>
      <c r="B123" s="681" t="s">
        <v>183</v>
      </c>
      <c r="C123" s="245" t="s">
        <v>1463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103</v>
      </c>
      <c r="B124" s="681" t="s">
        <v>194</v>
      </c>
      <c r="C124" s="245" t="s">
        <v>1463</v>
      </c>
      <c r="D124" s="269"/>
      <c r="E124" s="757"/>
      <c r="F124" s="544"/>
      <c r="G124" s="757"/>
      <c r="H124" s="269">
        <v>39.299999999999997</v>
      </c>
      <c r="I124" s="757">
        <v>3</v>
      </c>
      <c r="J124" s="245"/>
      <c r="K124" s="245"/>
      <c r="L124" s="245"/>
    </row>
    <row r="125" spans="1:12" s="184" customFormat="1" ht="26.25" x14ac:dyDescent="0.25">
      <c r="A125" s="695" t="s">
        <v>983</v>
      </c>
      <c r="B125" s="681" t="s">
        <v>981</v>
      </c>
      <c r="C125" s="245" t="s">
        <v>1463</v>
      </c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980</v>
      </c>
      <c r="B126" s="681" t="s">
        <v>196</v>
      </c>
      <c r="C126" s="245" t="s">
        <v>1463</v>
      </c>
      <c r="D126" s="269"/>
      <c r="E126" s="757"/>
      <c r="F126" s="544"/>
      <c r="G126" s="757"/>
      <c r="H126" s="269">
        <v>182.55</v>
      </c>
      <c r="I126" s="757">
        <v>164</v>
      </c>
      <c r="J126" s="245"/>
      <c r="K126" s="245"/>
      <c r="L126" s="245"/>
    </row>
    <row r="127" spans="1:12" s="184" customFormat="1" x14ac:dyDescent="0.25">
      <c r="A127" s="695" t="s">
        <v>1076</v>
      </c>
      <c r="B127" s="681" t="s">
        <v>166</v>
      </c>
      <c r="C127" s="245" t="s">
        <v>1463</v>
      </c>
      <c r="D127" s="269"/>
      <c r="E127" s="757"/>
      <c r="F127" s="544"/>
      <c r="G127" s="757"/>
      <c r="H127" s="269">
        <v>49.45</v>
      </c>
      <c r="I127" s="757">
        <v>39</v>
      </c>
      <c r="J127" s="245"/>
      <c r="K127" s="245"/>
      <c r="L127" s="245"/>
    </row>
    <row r="128" spans="1:12" s="184" customFormat="1" x14ac:dyDescent="0.25">
      <c r="A128" s="695" t="s">
        <v>1077</v>
      </c>
      <c r="B128" s="681" t="s">
        <v>193</v>
      </c>
      <c r="C128" s="245" t="s">
        <v>1463</v>
      </c>
      <c r="D128" s="269"/>
      <c r="E128" s="757"/>
      <c r="F128" s="544"/>
      <c r="G128" s="757"/>
      <c r="H128" s="269">
        <v>39.299999999999997</v>
      </c>
      <c r="I128" s="757">
        <v>19</v>
      </c>
      <c r="J128" s="245"/>
      <c r="K128" s="245"/>
      <c r="L128" s="245"/>
    </row>
    <row r="129" spans="1:36" s="184" customFormat="1" x14ac:dyDescent="0.25">
      <c r="A129" s="695" t="s">
        <v>1075</v>
      </c>
      <c r="B129" s="681" t="s">
        <v>192</v>
      </c>
      <c r="C129" s="245" t="s">
        <v>1463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/>
      <c r="K129" s="245"/>
      <c r="L129" s="245"/>
    </row>
    <row r="130" spans="1:36" s="184" customFormat="1" x14ac:dyDescent="0.25">
      <c r="A130" s="695" t="s">
        <v>1066</v>
      </c>
      <c r="B130" s="681" t="s">
        <v>139</v>
      </c>
      <c r="C130" s="245" t="s">
        <v>1475</v>
      </c>
      <c r="D130" s="269"/>
      <c r="E130" s="757"/>
      <c r="F130" s="544"/>
      <c r="G130" s="757"/>
      <c r="H130" s="269">
        <v>52.12</v>
      </c>
      <c r="I130" s="757">
        <v>44</v>
      </c>
      <c r="J130" s="245"/>
      <c r="K130" s="245"/>
      <c r="L130" s="245"/>
    </row>
    <row r="131" spans="1:36" s="184" customFormat="1" x14ac:dyDescent="0.25">
      <c r="A131" s="695" t="s">
        <v>64</v>
      </c>
      <c r="B131" s="681" t="s">
        <v>191</v>
      </c>
      <c r="C131" s="289" t="s">
        <v>1463</v>
      </c>
      <c r="D131" s="269"/>
      <c r="E131" s="757"/>
      <c r="F131" s="544"/>
      <c r="G131" s="757"/>
      <c r="H131" s="269">
        <v>180.08</v>
      </c>
      <c r="I131" s="757">
        <v>251</v>
      </c>
      <c r="J131" s="245"/>
      <c r="K131" s="245"/>
      <c r="L131" s="245"/>
    </row>
    <row r="132" spans="1:36" s="184" customFormat="1" x14ac:dyDescent="0.25">
      <c r="A132" s="695" t="s">
        <v>1093</v>
      </c>
      <c r="B132" s="681" t="s">
        <v>131</v>
      </c>
      <c r="C132" s="245" t="s">
        <v>1475</v>
      </c>
      <c r="D132" s="269"/>
      <c r="E132" s="757"/>
      <c r="F132" s="544"/>
      <c r="G132" s="757"/>
      <c r="H132" s="269">
        <v>1230.2</v>
      </c>
      <c r="I132" s="757">
        <v>1635</v>
      </c>
      <c r="J132" s="245"/>
      <c r="K132" s="245"/>
      <c r="L132" s="245"/>
    </row>
    <row r="133" spans="1:36" s="184" customFormat="1" x14ac:dyDescent="0.25">
      <c r="A133" s="695" t="s">
        <v>1092</v>
      </c>
      <c r="B133" s="681" t="s">
        <v>133</v>
      </c>
      <c r="C133" s="245" t="s">
        <v>1475</v>
      </c>
      <c r="D133" s="269"/>
      <c r="E133" s="757"/>
      <c r="F133" s="544"/>
      <c r="G133" s="757"/>
      <c r="H133" s="269">
        <v>39.299999999999997</v>
      </c>
      <c r="I133" s="757">
        <v>11</v>
      </c>
      <c r="J133" s="245"/>
      <c r="K133" s="245"/>
      <c r="L133" s="245"/>
    </row>
    <row r="134" spans="1:36" s="184" customFormat="1" x14ac:dyDescent="0.25">
      <c r="A134" s="761" t="s">
        <v>309</v>
      </c>
      <c r="B134" s="681" t="s">
        <v>135</v>
      </c>
      <c r="C134" s="245" t="s">
        <v>1475</v>
      </c>
      <c r="D134" s="269"/>
      <c r="E134" s="757"/>
      <c r="F134" s="544"/>
      <c r="G134" s="757"/>
      <c r="H134" s="269">
        <v>2613.3200000000002</v>
      </c>
      <c r="I134" s="757">
        <v>3443</v>
      </c>
      <c r="J134" s="245"/>
      <c r="K134" s="245"/>
      <c r="L134" s="245"/>
    </row>
    <row r="135" spans="1:36" s="184" customFormat="1" x14ac:dyDescent="0.25">
      <c r="A135" s="761" t="s">
        <v>1091</v>
      </c>
      <c r="B135" s="681" t="s">
        <v>138</v>
      </c>
      <c r="C135" s="245" t="s">
        <v>1475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1090</v>
      </c>
      <c r="B136" s="681" t="s">
        <v>141</v>
      </c>
      <c r="C136" s="245" t="s">
        <v>1475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1089</v>
      </c>
      <c r="B137" s="681" t="s">
        <v>143</v>
      </c>
      <c r="C137" s="289" t="s">
        <v>1475</v>
      </c>
      <c r="D137" s="269"/>
      <c r="E137" s="757"/>
      <c r="F137" s="544"/>
      <c r="G137" s="757"/>
      <c r="H137" s="269">
        <v>48.91</v>
      </c>
      <c r="I137" s="757">
        <v>38</v>
      </c>
      <c r="J137" s="245"/>
      <c r="K137" s="245"/>
      <c r="L137" s="245"/>
    </row>
    <row r="138" spans="1:36" s="184" customFormat="1" x14ac:dyDescent="0.25">
      <c r="A138" s="695" t="s">
        <v>1088</v>
      </c>
      <c r="B138" s="681" t="s">
        <v>145</v>
      </c>
      <c r="C138" s="245" t="s">
        <v>1475</v>
      </c>
      <c r="D138" s="269"/>
      <c r="E138" s="757"/>
      <c r="F138" s="544"/>
      <c r="G138" s="757"/>
      <c r="H138" s="269">
        <v>358.1</v>
      </c>
      <c r="I138" s="757">
        <v>495</v>
      </c>
      <c r="J138" s="245"/>
      <c r="K138" s="245"/>
      <c r="L138" s="245"/>
    </row>
    <row r="139" spans="1:36" s="184" customFormat="1" x14ac:dyDescent="0.25">
      <c r="A139" s="695" t="s">
        <v>1086</v>
      </c>
      <c r="B139" s="681" t="s">
        <v>147</v>
      </c>
      <c r="C139" s="245" t="s">
        <v>1475</v>
      </c>
      <c r="D139" s="269"/>
      <c r="E139" s="757"/>
      <c r="F139" s="544"/>
      <c r="G139" s="757"/>
      <c r="H139" s="269">
        <v>325.2</v>
      </c>
      <c r="I139" s="757">
        <v>452</v>
      </c>
      <c r="J139" s="245"/>
      <c r="K139" s="245"/>
      <c r="L139" s="245"/>
    </row>
    <row r="140" spans="1:36" s="184" customFormat="1" x14ac:dyDescent="0.25">
      <c r="A140" s="695" t="s">
        <v>176</v>
      </c>
      <c r="B140" s="759" t="s">
        <v>165</v>
      </c>
      <c r="C140" s="245" t="s">
        <v>1475</v>
      </c>
      <c r="D140" s="269"/>
      <c r="E140" s="757"/>
      <c r="F140" s="544"/>
      <c r="G140" s="757"/>
      <c r="H140" s="269">
        <v>338.97</v>
      </c>
      <c r="I140" s="757">
        <v>470</v>
      </c>
      <c r="J140" s="245"/>
      <c r="K140" s="245"/>
      <c r="L140" s="245"/>
    </row>
    <row r="141" spans="1:36" s="199" customFormat="1" x14ac:dyDescent="0.25">
      <c r="A141" s="698" t="s">
        <v>433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107</v>
      </c>
      <c r="B142" s="681">
        <v>67</v>
      </c>
      <c r="C142" s="289"/>
      <c r="D142" s="269"/>
      <c r="E142" s="757"/>
      <c r="F142" s="544"/>
      <c r="G142" s="757"/>
      <c r="H142" s="269">
        <v>50</v>
      </c>
      <c r="I142" s="757">
        <v>1000</v>
      </c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109</v>
      </c>
      <c r="B143" s="775">
        <v>95</v>
      </c>
      <c r="C143" s="245" t="s">
        <v>1472</v>
      </c>
      <c r="D143" s="269"/>
      <c r="E143" s="757"/>
      <c r="F143" s="544"/>
      <c r="G143" s="757"/>
      <c r="H143" s="269">
        <v>60</v>
      </c>
      <c r="I143" s="757">
        <v>1100</v>
      </c>
      <c r="J143" s="245"/>
      <c r="K143" s="245"/>
      <c r="L143" s="245"/>
    </row>
    <row r="144" spans="1:36" s="199" customFormat="1" x14ac:dyDescent="0.25">
      <c r="A144" s="694" t="s">
        <v>432</v>
      </c>
      <c r="B144" s="691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1137</v>
      </c>
      <c r="B145" s="759">
        <v>61</v>
      </c>
      <c r="C145" s="289">
        <v>43746</v>
      </c>
      <c r="D145" s="269"/>
      <c r="E145" s="757"/>
      <c r="F145" s="544"/>
      <c r="G145" s="757"/>
      <c r="H145" s="269">
        <v>35.18</v>
      </c>
      <c r="I145" s="757">
        <v>10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99" customFormat="1" x14ac:dyDescent="0.25">
      <c r="A146" s="698" t="s">
        <v>431</v>
      </c>
      <c r="B146" s="690"/>
      <c r="C146" s="249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ht="26.25" x14ac:dyDescent="0.25">
      <c r="A147" s="695" t="s">
        <v>40</v>
      </c>
      <c r="B147" s="759">
        <v>95</v>
      </c>
      <c r="C147" s="289" t="s">
        <v>1461</v>
      </c>
      <c r="D147" s="269"/>
      <c r="E147" s="757"/>
      <c r="F147" s="544"/>
      <c r="G147" s="757"/>
      <c r="H147" s="269">
        <v>35</v>
      </c>
      <c r="I147" s="757">
        <v>1200</v>
      </c>
      <c r="J147" s="245"/>
      <c r="K147" s="245"/>
      <c r="L147" s="245"/>
    </row>
    <row r="148" spans="1:88" s="199" customFormat="1" ht="26.25" x14ac:dyDescent="0.25">
      <c r="A148" s="698" t="s">
        <v>430</v>
      </c>
      <c r="B148" s="690" t="s">
        <v>356</v>
      </c>
      <c r="C148" s="303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355</v>
      </c>
      <c r="B149" s="692"/>
      <c r="C149" s="289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</row>
    <row r="150" spans="1:88" s="359" customFormat="1" ht="46.5" customHeight="1" x14ac:dyDescent="0.25">
      <c r="A150" s="715"/>
      <c r="B150" s="715"/>
      <c r="C150" s="355"/>
      <c r="D150" s="356"/>
      <c r="E150" s="758"/>
      <c r="F150" s="717"/>
      <c r="G150" s="758"/>
      <c r="H150" s="356"/>
      <c r="I150" s="758"/>
      <c r="J150" s="718"/>
      <c r="K150" s="355"/>
      <c r="L150" s="355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1465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4"/>
      <c r="B4" s="835"/>
      <c r="C4" s="835"/>
      <c r="D4" s="835"/>
      <c r="E4" s="835"/>
      <c r="F4" s="835"/>
      <c r="G4" s="83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33288.76</v>
      </c>
      <c r="D13" s="34"/>
      <c r="E13" s="35" t="s">
        <v>33</v>
      </c>
      <c r="F13" s="34"/>
      <c r="G13" s="42">
        <v>29667.37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1433</v>
      </c>
      <c r="D15" s="34"/>
      <c r="E15" s="35" t="s">
        <v>10</v>
      </c>
      <c r="F15" s="34"/>
      <c r="G15" s="42">
        <v>4436.78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71594</v>
      </c>
      <c r="D17" s="34"/>
      <c r="E17" s="35" t="s">
        <v>278</v>
      </c>
      <c r="F17" s="34"/>
      <c r="G17" s="42">
        <v>12790.98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8"/>
  <sheetViews>
    <sheetView zoomScale="115" zoomScaleNormal="115" workbookViewId="0">
      <pane ySplit="2" topLeftCell="A45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1441</v>
      </c>
      <c r="D3" s="328"/>
      <c r="E3" s="763"/>
      <c r="F3" s="620">
        <v>626.05999999999995</v>
      </c>
      <c r="G3" s="763">
        <v>1173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1440</v>
      </c>
      <c r="D4" s="269"/>
      <c r="E4" s="757"/>
      <c r="F4" s="544">
        <v>55.61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1456</v>
      </c>
      <c r="D5" s="328"/>
      <c r="E5" s="763"/>
      <c r="F5" s="620">
        <v>56.73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1443</v>
      </c>
      <c r="D6" s="269"/>
      <c r="E6" s="757"/>
      <c r="F6" s="544">
        <v>53.13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1436</v>
      </c>
      <c r="D7" s="269"/>
      <c r="E7" s="757"/>
      <c r="F7" s="544">
        <v>53.34</v>
      </c>
      <c r="G7" s="757">
        <v>8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1436</v>
      </c>
      <c r="D8" s="269"/>
      <c r="E8" s="757"/>
      <c r="F8" s="544">
        <v>51.43</v>
      </c>
      <c r="G8" s="757">
        <v>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1442</v>
      </c>
      <c r="D9" s="269"/>
      <c r="E9" s="757"/>
      <c r="F9" s="544">
        <v>60.07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1442</v>
      </c>
      <c r="D10" s="269"/>
      <c r="E10" s="757"/>
      <c r="F10" s="544">
        <v>65.5</v>
      </c>
      <c r="G10" s="757">
        <v>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1442</v>
      </c>
      <c r="D11" s="269"/>
      <c r="E11" s="757"/>
      <c r="F11" s="544">
        <v>51.1</v>
      </c>
      <c r="G11" s="757">
        <v>2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1436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1444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1449</v>
      </c>
      <c r="D14" s="269"/>
      <c r="E14" s="757"/>
      <c r="F14" s="544">
        <v>49.68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1443</v>
      </c>
      <c r="D15" s="269"/>
      <c r="E15" s="757"/>
      <c r="F15" s="544">
        <v>51.66</v>
      </c>
      <c r="G15" s="757">
        <v>11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1444</v>
      </c>
      <c r="D16" s="269"/>
      <c r="E16" s="757"/>
      <c r="F16" s="544">
        <v>86.46</v>
      </c>
      <c r="G16" s="757">
        <v>87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1427</v>
      </c>
      <c r="D17" s="269"/>
      <c r="E17" s="757"/>
      <c r="F17" s="544">
        <v>34.06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1427</v>
      </c>
      <c r="D18" s="269"/>
      <c r="E18" s="757"/>
      <c r="F18" s="544">
        <v>46.22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1451</v>
      </c>
      <c r="D20" s="618">
        <v>16.91</v>
      </c>
      <c r="E20" s="754">
        <v>48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/>
      <c r="B21" s="686"/>
      <c r="C21" s="546" t="s">
        <v>1454</v>
      </c>
      <c r="D21" s="618">
        <v>27.28</v>
      </c>
      <c r="E21" s="754">
        <v>80</v>
      </c>
      <c r="F21" s="548"/>
      <c r="G21" s="754"/>
      <c r="H21" s="618"/>
      <c r="I21" s="754"/>
      <c r="J21" s="546"/>
      <c r="K21" s="546"/>
      <c r="L21" s="546"/>
    </row>
    <row r="22" spans="1:36" s="619" customFormat="1" ht="15.75" x14ac:dyDescent="0.25">
      <c r="A22" s="686" t="s">
        <v>831</v>
      </c>
      <c r="B22" s="686">
        <v>5216006440</v>
      </c>
      <c r="C22" s="546" t="s">
        <v>1454</v>
      </c>
      <c r="D22" s="618">
        <v>181.28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1454</v>
      </c>
      <c r="D23" s="618">
        <v>795.73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1448</v>
      </c>
      <c r="D24" s="618">
        <v>15.08</v>
      </c>
      <c r="E24" s="754">
        <v>25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1454</v>
      </c>
      <c r="D25" s="618">
        <v>15.63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1447</v>
      </c>
      <c r="D26" s="618">
        <v>258.83999999999997</v>
      </c>
      <c r="E26" s="754">
        <v>2761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1447</v>
      </c>
      <c r="D27" s="618">
        <v>8295.6299999999992</v>
      </c>
      <c r="E27" s="754">
        <v>122000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1447</v>
      </c>
      <c r="D28" s="618">
        <v>446.67</v>
      </c>
      <c r="E28" s="754">
        <v>4318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1447</v>
      </c>
      <c r="D29" s="618">
        <v>441.11</v>
      </c>
      <c r="E29" s="754">
        <v>900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1451</v>
      </c>
      <c r="D30" s="618">
        <v>543.15</v>
      </c>
      <c r="E30" s="754">
        <v>5920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1454</v>
      </c>
      <c r="D31" s="618">
        <v>1207.73</v>
      </c>
      <c r="E31" s="754">
        <v>12560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1451</v>
      </c>
      <c r="D32" s="618">
        <v>1009.94</v>
      </c>
      <c r="E32" s="754">
        <v>13772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1454</v>
      </c>
      <c r="D33" s="618">
        <v>1826.41</v>
      </c>
      <c r="E33" s="754">
        <v>21540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1446</v>
      </c>
      <c r="D34" s="618">
        <v>23.04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1454</v>
      </c>
      <c r="D35" s="618">
        <v>13.72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1454</v>
      </c>
      <c r="D36" s="618">
        <v>18.29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1450</v>
      </c>
      <c r="D37" s="618">
        <v>312.85000000000002</v>
      </c>
      <c r="E37" s="754">
        <v>2710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1450</v>
      </c>
      <c r="D38" s="618">
        <v>240.99</v>
      </c>
      <c r="E38" s="754">
        <v>2895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1447</v>
      </c>
      <c r="D39" s="618">
        <v>597.11</v>
      </c>
      <c r="E39" s="754">
        <v>6688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1451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1450</v>
      </c>
      <c r="D41" s="618">
        <v>22.98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1446</v>
      </c>
      <c r="D42" s="618">
        <v>69.989999999999995</v>
      </c>
      <c r="E42" s="754">
        <v>680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1448</v>
      </c>
      <c r="D43" s="618">
        <v>16.66</v>
      </c>
      <c r="E43" s="754">
        <v>45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1454</v>
      </c>
      <c r="D44" s="618">
        <v>15.63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1454</v>
      </c>
      <c r="D45" s="618">
        <v>18.78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1447</v>
      </c>
      <c r="D46" s="618">
        <v>13.12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1450</v>
      </c>
      <c r="D47" s="618">
        <v>325.33</v>
      </c>
      <c r="E47" s="754">
        <v>2485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1454</v>
      </c>
      <c r="D48" s="618">
        <v>331.35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1454</v>
      </c>
      <c r="D49" s="618">
        <v>245.69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1454</v>
      </c>
      <c r="D50" s="618">
        <v>1862.39</v>
      </c>
      <c r="E50" s="754">
        <v>22320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1450</v>
      </c>
      <c r="D51" s="618">
        <v>22.98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1451</v>
      </c>
      <c r="D52" s="618">
        <v>27.52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1446</v>
      </c>
      <c r="D53" s="618">
        <v>136.46</v>
      </c>
      <c r="E53" s="754">
        <v>1321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1450</v>
      </c>
      <c r="D54" s="618">
        <v>137.57</v>
      </c>
      <c r="E54" s="754">
        <v>1581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1454</v>
      </c>
      <c r="D55" s="618">
        <v>22.13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/>
      <c r="D56" s="618"/>
      <c r="E56" s="754"/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1452</v>
      </c>
      <c r="D57" s="618">
        <v>22.13</v>
      </c>
      <c r="E57" s="754">
        <v>114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1448</v>
      </c>
      <c r="D58" s="618">
        <v>108.81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1450</v>
      </c>
      <c r="D59" s="618">
        <v>938.75</v>
      </c>
      <c r="E59" s="754">
        <v>11040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1451</v>
      </c>
      <c r="D60" s="618">
        <v>382.14</v>
      </c>
      <c r="E60" s="754">
        <v>3592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1446</v>
      </c>
      <c r="D61" s="618">
        <v>191.27</v>
      </c>
      <c r="E61" s="754">
        <v>2130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1450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1454</v>
      </c>
      <c r="D63" s="618">
        <v>754.04</v>
      </c>
      <c r="E63" s="754">
        <v>8154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1454</v>
      </c>
      <c r="D64" s="618">
        <v>25.02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1448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1454</v>
      </c>
      <c r="D66" s="618">
        <v>1040.8699999999999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1447</v>
      </c>
      <c r="D67" s="618">
        <v>30.12</v>
      </c>
      <c r="E67" s="754">
        <v>203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1447</v>
      </c>
      <c r="D68" s="618">
        <v>117.16</v>
      </c>
      <c r="E68" s="754">
        <v>1242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1445</v>
      </c>
      <c r="D70" s="269">
        <v>321</v>
      </c>
      <c r="E70" s="757">
        <v>3530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1445</v>
      </c>
      <c r="D71" s="269">
        <v>142</v>
      </c>
      <c r="E71" s="757">
        <v>1226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1445</v>
      </c>
      <c r="D72" s="269">
        <v>109</v>
      </c>
      <c r="E72" s="757">
        <v>717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1445</v>
      </c>
      <c r="D73" s="269">
        <v>38</v>
      </c>
      <c r="E73" s="757">
        <v>92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1445</v>
      </c>
      <c r="D74" s="269">
        <v>36</v>
      </c>
      <c r="E74" s="757">
        <v>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1445</v>
      </c>
      <c r="D75" s="269">
        <v>217</v>
      </c>
      <c r="E75" s="757">
        <v>2028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1445</v>
      </c>
      <c r="D76" s="269">
        <v>130</v>
      </c>
      <c r="E76" s="757">
        <v>1316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1445</v>
      </c>
      <c r="D77" s="269">
        <v>50</v>
      </c>
      <c r="E77" s="757">
        <v>241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1445</v>
      </c>
      <c r="D78" s="269">
        <v>89</v>
      </c>
      <c r="E78" s="757">
        <v>466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1445</v>
      </c>
      <c r="D79" s="269">
        <v>31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1445</v>
      </c>
      <c r="D80" s="269">
        <v>32</v>
      </c>
      <c r="E80" s="757">
        <v>22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1445</v>
      </c>
      <c r="D81" s="269">
        <v>68.08</v>
      </c>
      <c r="E81" s="757">
        <v>220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1445</v>
      </c>
      <c r="D82" s="328">
        <v>191</v>
      </c>
      <c r="E82" s="763">
        <v>1784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1445</v>
      </c>
      <c r="D83" s="269">
        <v>1330</v>
      </c>
      <c r="E83" s="757">
        <v>18360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1445</v>
      </c>
      <c r="D84" s="269">
        <v>88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1445</v>
      </c>
      <c r="D85" s="269">
        <v>39</v>
      </c>
      <c r="E85" s="757">
        <v>19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1445</v>
      </c>
      <c r="D86" s="269">
        <v>30</v>
      </c>
      <c r="E86" s="757">
        <v>47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1445</v>
      </c>
      <c r="D87" s="269">
        <v>259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1445</v>
      </c>
      <c r="D88" s="269">
        <v>240</v>
      </c>
      <c r="E88" s="757">
        <v>1440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1427</v>
      </c>
      <c r="D89" s="269">
        <v>287</v>
      </c>
      <c r="E89" s="757">
        <v>24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1445</v>
      </c>
      <c r="D90" s="674">
        <v>254</v>
      </c>
      <c r="E90" s="771">
        <v>32.76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1445</v>
      </c>
      <c r="D91" s="269">
        <v>164</v>
      </c>
      <c r="E91" s="757">
        <v>896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1445</v>
      </c>
      <c r="D92" s="269">
        <v>67</v>
      </c>
      <c r="E92" s="757">
        <v>202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1445</v>
      </c>
      <c r="D93" s="269">
        <v>104</v>
      </c>
      <c r="E93" s="757">
        <v>694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1445</v>
      </c>
      <c r="D94" s="269">
        <v>31</v>
      </c>
      <c r="E94" s="757">
        <v>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1445</v>
      </c>
      <c r="D95" s="269">
        <v>1630</v>
      </c>
      <c r="E95" s="757">
        <v>24240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1445</v>
      </c>
      <c r="D96" s="269">
        <v>251</v>
      </c>
      <c r="E96" s="757">
        <v>2438</v>
      </c>
      <c r="F96" s="544"/>
      <c r="G96" s="757"/>
      <c r="H96" s="269"/>
      <c r="I96" s="757"/>
      <c r="J96" s="245"/>
      <c r="K96" s="245"/>
      <c r="L96" s="245"/>
    </row>
    <row r="97" spans="1:36" s="184" customFormat="1" x14ac:dyDescent="0.25">
      <c r="A97" s="695" t="s">
        <v>702</v>
      </c>
      <c r="B97" s="681">
        <v>1322725900</v>
      </c>
      <c r="C97" s="289" t="s">
        <v>1445</v>
      </c>
      <c r="D97" s="269">
        <v>82.56</v>
      </c>
      <c r="E97" s="757">
        <v>1080</v>
      </c>
      <c r="F97" s="544"/>
      <c r="G97" s="757"/>
      <c r="H97" s="269"/>
      <c r="I97" s="757"/>
      <c r="J97" s="245"/>
      <c r="K97" s="245"/>
      <c r="L97" s="245"/>
    </row>
    <row r="98" spans="1:36" s="199" customFormat="1" x14ac:dyDescent="0.25">
      <c r="A98" s="698" t="s">
        <v>434</v>
      </c>
      <c r="B98" s="687"/>
      <c r="C98" s="249"/>
      <c r="D98" s="250"/>
      <c r="E98" s="750"/>
      <c r="F98" s="543"/>
      <c r="G98" s="750"/>
      <c r="H98" s="250"/>
      <c r="I98" s="750"/>
      <c r="J98" s="249"/>
      <c r="K98" s="249"/>
      <c r="L98" s="24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</row>
    <row r="99" spans="1:36" s="184" customFormat="1" x14ac:dyDescent="0.25">
      <c r="A99" s="695" t="s">
        <v>65</v>
      </c>
      <c r="B99" s="681" t="s">
        <v>163</v>
      </c>
      <c r="C99" s="245" t="s">
        <v>1445</v>
      </c>
      <c r="D99" s="269"/>
      <c r="E99" s="757"/>
      <c r="F99" s="544"/>
      <c r="G99" s="757"/>
      <c r="H99" s="269">
        <v>236.65</v>
      </c>
      <c r="I99" s="757">
        <v>339</v>
      </c>
      <c r="J99" s="245"/>
      <c r="K99" s="245"/>
      <c r="L99" s="245"/>
    </row>
    <row r="100" spans="1:36" s="184" customFormat="1" x14ac:dyDescent="0.25">
      <c r="A100" s="695" t="s">
        <v>37</v>
      </c>
      <c r="B100" s="681" t="s">
        <v>190</v>
      </c>
      <c r="C100" s="289" t="s">
        <v>1445</v>
      </c>
      <c r="D100" s="269"/>
      <c r="E100" s="757"/>
      <c r="F100" s="544"/>
      <c r="G100" s="757"/>
      <c r="H100" s="269">
        <v>242.31</v>
      </c>
      <c r="I100" s="757">
        <v>347</v>
      </c>
      <c r="J100" s="245"/>
      <c r="K100" s="245"/>
      <c r="L100" s="245"/>
    </row>
    <row r="101" spans="1:36" s="184" customFormat="1" x14ac:dyDescent="0.25">
      <c r="A101" s="695" t="s">
        <v>71</v>
      </c>
      <c r="B101" s="681" t="s">
        <v>188</v>
      </c>
      <c r="C101" s="245" t="s">
        <v>1445</v>
      </c>
      <c r="D101" s="269"/>
      <c r="E101" s="757"/>
      <c r="F101" s="544"/>
      <c r="G101" s="757"/>
      <c r="H101" s="269">
        <v>41.67</v>
      </c>
      <c r="I101" s="757">
        <v>35</v>
      </c>
      <c r="J101" s="245"/>
      <c r="K101" s="245"/>
      <c r="L101" s="245"/>
    </row>
    <row r="102" spans="1:36" s="184" customFormat="1" x14ac:dyDescent="0.25">
      <c r="A102" s="695" t="s">
        <v>72</v>
      </c>
      <c r="B102" s="681" t="s">
        <v>187</v>
      </c>
      <c r="C102" s="245" t="s">
        <v>1445</v>
      </c>
      <c r="D102" s="269"/>
      <c r="E102" s="757"/>
      <c r="F102" s="544"/>
      <c r="G102" s="757"/>
      <c r="H102" s="269">
        <v>46.48</v>
      </c>
      <c r="I102" s="757">
        <v>44</v>
      </c>
      <c r="J102" s="245"/>
      <c r="K102" s="245"/>
      <c r="L102" s="245"/>
    </row>
    <row r="103" spans="1:36" s="184" customFormat="1" x14ac:dyDescent="0.25">
      <c r="A103" s="695" t="s">
        <v>73</v>
      </c>
      <c r="B103" s="681" t="s">
        <v>171</v>
      </c>
      <c r="C103" s="245" t="s">
        <v>1445</v>
      </c>
      <c r="D103" s="269"/>
      <c r="E103" s="757"/>
      <c r="F103" s="544"/>
      <c r="G103" s="757"/>
      <c r="H103" s="269">
        <v>39.53</v>
      </c>
      <c r="I103" s="757">
        <v>31</v>
      </c>
      <c r="J103" s="245"/>
      <c r="K103" s="245"/>
      <c r="L103" s="245"/>
    </row>
    <row r="104" spans="1:36" s="184" customFormat="1" x14ac:dyDescent="0.25">
      <c r="A104" s="695" t="s">
        <v>74</v>
      </c>
      <c r="B104" s="681" t="s">
        <v>170</v>
      </c>
      <c r="C104" s="245" t="s">
        <v>1445</v>
      </c>
      <c r="D104" s="269"/>
      <c r="E104" s="757"/>
      <c r="F104" s="544"/>
      <c r="G104" s="757"/>
      <c r="H104" s="269">
        <v>33.659999999999997</v>
      </c>
      <c r="I104" s="757">
        <v>3</v>
      </c>
      <c r="J104" s="245"/>
      <c r="K104" s="245"/>
      <c r="L104" s="245"/>
    </row>
    <row r="105" spans="1:36" s="184" customFormat="1" x14ac:dyDescent="0.25">
      <c r="A105" s="695" t="s">
        <v>75</v>
      </c>
      <c r="B105" s="681" t="s">
        <v>189</v>
      </c>
      <c r="C105" s="245" t="s">
        <v>1445</v>
      </c>
      <c r="D105" s="269"/>
      <c r="E105" s="757"/>
      <c r="F105" s="544"/>
      <c r="G105" s="757"/>
      <c r="H105" s="269">
        <v>53.42</v>
      </c>
      <c r="I105" s="757">
        <v>57</v>
      </c>
      <c r="J105" s="245"/>
      <c r="K105" s="245"/>
      <c r="L105" s="245"/>
    </row>
    <row r="106" spans="1:36" s="184" customFormat="1" x14ac:dyDescent="0.25">
      <c r="A106" s="695" t="s">
        <v>76</v>
      </c>
      <c r="B106" s="681" t="s">
        <v>169</v>
      </c>
      <c r="C106" s="245" t="s">
        <v>1445</v>
      </c>
      <c r="D106" s="269"/>
      <c r="E106" s="757"/>
      <c r="F106" s="544"/>
      <c r="G106" s="757"/>
      <c r="H106" s="269">
        <v>33.659999999999997</v>
      </c>
      <c r="I106" s="757">
        <v>1</v>
      </c>
      <c r="J106" s="245"/>
      <c r="K106" s="245"/>
      <c r="L106" s="245"/>
    </row>
    <row r="107" spans="1:36" s="184" customFormat="1" x14ac:dyDescent="0.25">
      <c r="A107" s="695" t="s">
        <v>77</v>
      </c>
      <c r="B107" s="681" t="s">
        <v>168</v>
      </c>
      <c r="C107" s="245" t="s">
        <v>1445</v>
      </c>
      <c r="D107" s="269"/>
      <c r="E107" s="757"/>
      <c r="F107" s="544"/>
      <c r="G107" s="757"/>
      <c r="H107" s="269">
        <v>193.53</v>
      </c>
      <c r="I107" s="757">
        <v>278</v>
      </c>
      <c r="J107" s="245"/>
      <c r="K107" s="245"/>
      <c r="L107" s="245"/>
    </row>
    <row r="108" spans="1:36" s="184" customFormat="1" x14ac:dyDescent="0.25">
      <c r="A108" s="695" t="s">
        <v>78</v>
      </c>
      <c r="B108" s="681" t="s">
        <v>197</v>
      </c>
      <c r="C108" s="245" t="s">
        <v>1445</v>
      </c>
      <c r="D108" s="269"/>
      <c r="E108" s="757"/>
      <c r="F108" s="544"/>
      <c r="G108" s="757"/>
      <c r="H108" s="269">
        <v>33.659999999999997</v>
      </c>
      <c r="I108" s="757">
        <v>10</v>
      </c>
      <c r="J108" s="245"/>
      <c r="K108" s="245"/>
      <c r="L108" s="245"/>
    </row>
    <row r="109" spans="1:36" s="184" customFormat="1" x14ac:dyDescent="0.25">
      <c r="A109" s="695" t="s">
        <v>79</v>
      </c>
      <c r="B109" s="681" t="s">
        <v>167</v>
      </c>
      <c r="C109" s="289" t="s">
        <v>1445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36" s="184" customFormat="1" x14ac:dyDescent="0.25">
      <c r="A110" s="772" t="s">
        <v>80</v>
      </c>
      <c r="B110" s="773" t="s">
        <v>177</v>
      </c>
      <c r="C110" s="774" t="s">
        <v>1445</v>
      </c>
      <c r="D110" s="242"/>
      <c r="E110" s="749"/>
      <c r="F110" s="542"/>
      <c r="G110" s="749"/>
      <c r="H110" s="242">
        <v>33.659999999999997</v>
      </c>
      <c r="I110" s="749">
        <v>0</v>
      </c>
      <c r="J110" s="240"/>
      <c r="K110" s="245"/>
      <c r="L110" s="245"/>
    </row>
    <row r="111" spans="1:36" s="184" customFormat="1" x14ac:dyDescent="0.25">
      <c r="A111" s="695" t="s">
        <v>81</v>
      </c>
      <c r="B111" s="681" t="s">
        <v>180</v>
      </c>
      <c r="C111" s="245" t="s">
        <v>1445</v>
      </c>
      <c r="D111" s="269"/>
      <c r="E111" s="757"/>
      <c r="F111" s="544"/>
      <c r="G111" s="757"/>
      <c r="H111" s="269">
        <v>47.01</v>
      </c>
      <c r="I111" s="757">
        <v>45</v>
      </c>
      <c r="J111" s="245"/>
      <c r="K111" s="245"/>
      <c r="L111" s="245"/>
    </row>
    <row r="112" spans="1:36" s="184" customFormat="1" x14ac:dyDescent="0.25">
      <c r="A112" s="695" t="s">
        <v>82</v>
      </c>
      <c r="B112" s="681" t="s">
        <v>179</v>
      </c>
      <c r="C112" s="245" t="s">
        <v>1445</v>
      </c>
      <c r="D112" s="269"/>
      <c r="E112" s="757"/>
      <c r="F112" s="544"/>
      <c r="G112" s="757"/>
      <c r="H112" s="269">
        <v>33.659999999999997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83</v>
      </c>
      <c r="B113" s="681" t="s">
        <v>178</v>
      </c>
      <c r="C113" s="245" t="s">
        <v>1445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84</v>
      </c>
      <c r="B114" s="681" t="s">
        <v>175</v>
      </c>
      <c r="C114" s="289" t="s">
        <v>1445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85</v>
      </c>
      <c r="B115" s="681" t="s">
        <v>184</v>
      </c>
      <c r="C115" s="245" t="s">
        <v>1445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86</v>
      </c>
      <c r="B116" s="681" t="s">
        <v>185</v>
      </c>
      <c r="C116" s="245" t="s">
        <v>1445</v>
      </c>
      <c r="D116" s="269"/>
      <c r="E116" s="757"/>
      <c r="F116" s="544"/>
      <c r="G116" s="757"/>
      <c r="H116" s="269">
        <v>33.659999999999997</v>
      </c>
      <c r="I116" s="757">
        <v>5</v>
      </c>
      <c r="J116" s="245"/>
      <c r="K116" s="245"/>
      <c r="L116" s="245"/>
    </row>
    <row r="117" spans="1:12" s="184" customFormat="1" x14ac:dyDescent="0.25">
      <c r="A117" s="695" t="s">
        <v>87</v>
      </c>
      <c r="B117" s="681" t="s">
        <v>181</v>
      </c>
      <c r="C117" s="245" t="s">
        <v>1445</v>
      </c>
      <c r="D117" s="269"/>
      <c r="E117" s="757"/>
      <c r="F117" s="544"/>
      <c r="G117" s="757"/>
      <c r="H117" s="269">
        <v>33.659999999999997</v>
      </c>
      <c r="I117" s="757">
        <v>16</v>
      </c>
      <c r="J117" s="245"/>
      <c r="K117" s="245"/>
      <c r="L117" s="245"/>
    </row>
    <row r="118" spans="1:12" s="184" customFormat="1" x14ac:dyDescent="0.25">
      <c r="A118" s="695" t="s">
        <v>88</v>
      </c>
      <c r="B118" s="681" t="s">
        <v>172</v>
      </c>
      <c r="C118" s="289" t="s">
        <v>1445</v>
      </c>
      <c r="D118" s="269"/>
      <c r="E118" s="757"/>
      <c r="F118" s="544"/>
      <c r="G118" s="757"/>
      <c r="H118" s="269">
        <v>1978.85</v>
      </c>
      <c r="I118" s="757">
        <v>2621</v>
      </c>
      <c r="J118" s="245"/>
      <c r="K118" s="245"/>
      <c r="L118" s="245"/>
    </row>
    <row r="119" spans="1:12" s="184" customFormat="1" x14ac:dyDescent="0.25">
      <c r="A119" s="695" t="s">
        <v>89</v>
      </c>
      <c r="B119" s="681" t="s">
        <v>173</v>
      </c>
      <c r="C119" s="245" t="s">
        <v>1445</v>
      </c>
      <c r="D119" s="269"/>
      <c r="E119" s="757"/>
      <c r="F119" s="544"/>
      <c r="G119" s="757"/>
      <c r="H119" s="269">
        <v>186.46</v>
      </c>
      <c r="I119" s="757">
        <v>268</v>
      </c>
      <c r="J119" s="245"/>
      <c r="K119" s="245"/>
      <c r="L119" s="245"/>
    </row>
    <row r="120" spans="1:12" s="184" customFormat="1" x14ac:dyDescent="0.25">
      <c r="A120" s="695" t="s">
        <v>90</v>
      </c>
      <c r="B120" s="681" t="s">
        <v>174</v>
      </c>
      <c r="C120" s="245" t="s">
        <v>1445</v>
      </c>
      <c r="D120" s="269"/>
      <c r="E120" s="757"/>
      <c r="F120" s="544"/>
      <c r="G120" s="757"/>
      <c r="H120" s="269">
        <v>33.659999999999997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91</v>
      </c>
      <c r="B121" s="681" t="s">
        <v>182</v>
      </c>
      <c r="C121" s="245" t="s">
        <v>1445</v>
      </c>
      <c r="D121" s="269"/>
      <c r="E121" s="757"/>
      <c r="F121" s="544"/>
      <c r="G121" s="757"/>
      <c r="H121" s="269">
        <v>38.47</v>
      </c>
      <c r="I121" s="757">
        <v>29</v>
      </c>
      <c r="J121" s="245"/>
      <c r="K121" s="245"/>
      <c r="L121" s="245"/>
    </row>
    <row r="122" spans="1:12" s="184" customFormat="1" x14ac:dyDescent="0.25">
      <c r="A122" s="695" t="s">
        <v>92</v>
      </c>
      <c r="B122" s="681" t="s">
        <v>186</v>
      </c>
      <c r="C122" s="245" t="s">
        <v>1445</v>
      </c>
      <c r="D122" s="269"/>
      <c r="E122" s="757"/>
      <c r="F122" s="544"/>
      <c r="G122" s="757"/>
      <c r="H122" s="269">
        <v>33.659999999999997</v>
      </c>
      <c r="I122" s="757">
        <v>2</v>
      </c>
      <c r="J122" s="245"/>
      <c r="K122" s="245"/>
      <c r="L122" s="245"/>
    </row>
    <row r="123" spans="1:12" s="184" customFormat="1" x14ac:dyDescent="0.25">
      <c r="A123" s="695" t="s">
        <v>93</v>
      </c>
      <c r="B123" s="681" t="s">
        <v>183</v>
      </c>
      <c r="C123" s="245" t="s">
        <v>1445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103</v>
      </c>
      <c r="B124" s="681" t="s">
        <v>194</v>
      </c>
      <c r="C124" s="245" t="s">
        <v>1445</v>
      </c>
      <c r="D124" s="269"/>
      <c r="E124" s="757"/>
      <c r="F124" s="544"/>
      <c r="G124" s="757"/>
      <c r="H124" s="269">
        <v>33.659999999999997</v>
      </c>
      <c r="I124" s="757">
        <v>3</v>
      </c>
      <c r="J124" s="245"/>
      <c r="K124" s="245"/>
      <c r="L124" s="245"/>
    </row>
    <row r="125" spans="1:12" s="184" customFormat="1" ht="26.25" x14ac:dyDescent="0.25">
      <c r="A125" s="695" t="s">
        <v>983</v>
      </c>
      <c r="B125" s="681" t="s">
        <v>981</v>
      </c>
      <c r="C125" s="245" t="s">
        <v>1445</v>
      </c>
      <c r="D125" s="269"/>
      <c r="E125" s="757"/>
      <c r="F125" s="544"/>
      <c r="G125" s="757"/>
      <c r="H125" s="269">
        <v>445.02</v>
      </c>
      <c r="I125" s="757">
        <v>616</v>
      </c>
      <c r="J125" s="245"/>
      <c r="K125" s="245"/>
      <c r="L125" s="245"/>
    </row>
    <row r="126" spans="1:12" s="184" customFormat="1" x14ac:dyDescent="0.25">
      <c r="A126" s="695" t="s">
        <v>980</v>
      </c>
      <c r="B126" s="681" t="s">
        <v>196</v>
      </c>
      <c r="C126" s="245" t="s">
        <v>1445</v>
      </c>
      <c r="D126" s="269"/>
      <c r="E126" s="757"/>
      <c r="F126" s="544"/>
      <c r="G126" s="757"/>
      <c r="H126" s="269">
        <v>50.49</v>
      </c>
      <c r="I126" s="757">
        <v>13</v>
      </c>
      <c r="J126" s="245"/>
      <c r="K126" s="245"/>
      <c r="L126" s="245"/>
    </row>
    <row r="127" spans="1:12" s="184" customFormat="1" x14ac:dyDescent="0.25">
      <c r="A127" s="695" t="s">
        <v>1076</v>
      </c>
      <c r="B127" s="681" t="s">
        <v>166</v>
      </c>
      <c r="C127" s="245" t="s">
        <v>1445</v>
      </c>
      <c r="D127" s="269"/>
      <c r="E127" s="757"/>
      <c r="F127" s="544"/>
      <c r="G127" s="757"/>
      <c r="H127" s="269">
        <v>40.6</v>
      </c>
      <c r="I127" s="757">
        <v>33</v>
      </c>
      <c r="J127" s="245"/>
      <c r="K127" s="245"/>
      <c r="L127" s="245"/>
    </row>
    <row r="128" spans="1:12" s="184" customFormat="1" x14ac:dyDescent="0.25">
      <c r="A128" s="695" t="s">
        <v>1077</v>
      </c>
      <c r="B128" s="681" t="s">
        <v>193</v>
      </c>
      <c r="C128" s="245" t="s">
        <v>1445</v>
      </c>
      <c r="D128" s="269"/>
      <c r="E128" s="757"/>
      <c r="F128" s="544"/>
      <c r="G128" s="757"/>
      <c r="H128" s="269">
        <v>33.659999999999997</v>
      </c>
      <c r="I128" s="757">
        <v>18</v>
      </c>
      <c r="J128" s="245"/>
      <c r="K128" s="245"/>
      <c r="L128" s="245"/>
    </row>
    <row r="129" spans="1:36" s="184" customFormat="1" x14ac:dyDescent="0.25">
      <c r="A129" s="695" t="s">
        <v>1075</v>
      </c>
      <c r="B129" s="681" t="s">
        <v>192</v>
      </c>
      <c r="C129" s="245" t="s">
        <v>1445</v>
      </c>
      <c r="D129" s="269"/>
      <c r="E129" s="757"/>
      <c r="F129" s="544"/>
      <c r="G129" s="757"/>
      <c r="H129" s="269">
        <v>33.659999999999997</v>
      </c>
      <c r="I129" s="757">
        <v>0</v>
      </c>
      <c r="J129" s="245"/>
      <c r="K129" s="245"/>
      <c r="L129" s="245"/>
    </row>
    <row r="130" spans="1:36" s="184" customFormat="1" x14ac:dyDescent="0.25">
      <c r="A130" s="695" t="s">
        <v>1066</v>
      </c>
      <c r="B130" s="681" t="s">
        <v>139</v>
      </c>
      <c r="C130" s="245" t="s">
        <v>1453</v>
      </c>
      <c r="D130" s="269"/>
      <c r="E130" s="757"/>
      <c r="F130" s="544"/>
      <c r="G130" s="757"/>
      <c r="H130" s="269">
        <v>42.2</v>
      </c>
      <c r="I130" s="757">
        <v>36</v>
      </c>
      <c r="J130" s="245"/>
      <c r="K130" s="245"/>
      <c r="L130" s="245"/>
    </row>
    <row r="131" spans="1:36" s="184" customFormat="1" x14ac:dyDescent="0.25">
      <c r="A131" s="695" t="s">
        <v>64</v>
      </c>
      <c r="B131" s="681" t="s">
        <v>191</v>
      </c>
      <c r="C131" s="289" t="s">
        <v>1445</v>
      </c>
      <c r="D131" s="269"/>
      <c r="E131" s="757"/>
      <c r="F131" s="544"/>
      <c r="G131" s="757"/>
      <c r="H131" s="269">
        <v>194.23</v>
      </c>
      <c r="I131" s="757">
        <v>279</v>
      </c>
      <c r="J131" s="245"/>
      <c r="K131" s="245"/>
      <c r="L131" s="245"/>
    </row>
    <row r="132" spans="1:36" s="184" customFormat="1" x14ac:dyDescent="0.25">
      <c r="A132" s="695" t="s">
        <v>1093</v>
      </c>
      <c r="B132" s="681" t="s">
        <v>131</v>
      </c>
      <c r="C132" s="245" t="s">
        <v>1453</v>
      </c>
      <c r="D132" s="269"/>
      <c r="E132" s="757"/>
      <c r="F132" s="544"/>
      <c r="G132" s="757"/>
      <c r="H132" s="269">
        <v>4054.29</v>
      </c>
      <c r="I132" s="757">
        <v>5334</v>
      </c>
      <c r="J132" s="245"/>
      <c r="K132" s="245"/>
      <c r="L132" s="245"/>
    </row>
    <row r="133" spans="1:36" s="184" customFormat="1" x14ac:dyDescent="0.25">
      <c r="A133" s="695" t="s">
        <v>1092</v>
      </c>
      <c r="B133" s="681" t="s">
        <v>133</v>
      </c>
      <c r="C133" s="245" t="s">
        <v>1453</v>
      </c>
      <c r="D133" s="269"/>
      <c r="E133" s="757"/>
      <c r="F133" s="544"/>
      <c r="G133" s="757"/>
      <c r="H133" s="269">
        <v>33.659999999999997</v>
      </c>
      <c r="I133" s="757">
        <v>11</v>
      </c>
      <c r="J133" s="245"/>
      <c r="K133" s="245"/>
      <c r="L133" s="245"/>
    </row>
    <row r="134" spans="1:36" s="184" customFormat="1" x14ac:dyDescent="0.25">
      <c r="A134" s="761" t="s">
        <v>309</v>
      </c>
      <c r="B134" s="681" t="s">
        <v>135</v>
      </c>
      <c r="C134" s="245" t="s">
        <v>1453</v>
      </c>
      <c r="D134" s="269"/>
      <c r="E134" s="757"/>
      <c r="F134" s="544"/>
      <c r="G134" s="757"/>
      <c r="H134" s="269">
        <v>2648.22</v>
      </c>
      <c r="I134" s="757">
        <v>3496</v>
      </c>
      <c r="J134" s="245"/>
      <c r="K134" s="245"/>
      <c r="L134" s="245"/>
    </row>
    <row r="135" spans="1:36" s="184" customFormat="1" x14ac:dyDescent="0.25">
      <c r="A135" s="761" t="s">
        <v>1091</v>
      </c>
      <c r="B135" s="681" t="s">
        <v>138</v>
      </c>
      <c r="C135" s="245" t="s">
        <v>1453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1090</v>
      </c>
      <c r="B136" s="681" t="s">
        <v>141</v>
      </c>
      <c r="C136" s="245" t="s">
        <v>1453</v>
      </c>
      <c r="D136" s="269"/>
      <c r="E136" s="757"/>
      <c r="F136" s="544"/>
      <c r="G136" s="757"/>
      <c r="H136" s="269">
        <v>33.659999999999997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1089</v>
      </c>
      <c r="B137" s="681" t="s">
        <v>143</v>
      </c>
      <c r="C137" s="289" t="s">
        <v>1453</v>
      </c>
      <c r="D137" s="269"/>
      <c r="E137" s="757"/>
      <c r="F137" s="544"/>
      <c r="G137" s="757"/>
      <c r="H137" s="269">
        <v>43.27</v>
      </c>
      <c r="I137" s="757">
        <v>38</v>
      </c>
      <c r="J137" s="245"/>
      <c r="K137" s="245"/>
      <c r="L137" s="245"/>
    </row>
    <row r="138" spans="1:36" s="184" customFormat="1" x14ac:dyDescent="0.25">
      <c r="A138" s="695" t="s">
        <v>1088</v>
      </c>
      <c r="B138" s="681" t="s">
        <v>145</v>
      </c>
      <c r="C138" s="245" t="s">
        <v>1453</v>
      </c>
      <c r="D138" s="269"/>
      <c r="E138" s="757"/>
      <c r="F138" s="544"/>
      <c r="G138" s="757"/>
      <c r="H138" s="269">
        <v>365.46</v>
      </c>
      <c r="I138" s="757">
        <v>512</v>
      </c>
      <c r="J138" s="245"/>
      <c r="K138" s="245"/>
      <c r="L138" s="245"/>
    </row>
    <row r="139" spans="1:36" s="184" customFormat="1" x14ac:dyDescent="0.25">
      <c r="A139" s="695" t="s">
        <v>1086</v>
      </c>
      <c r="B139" s="681" t="s">
        <v>147</v>
      </c>
      <c r="C139" s="245" t="s">
        <v>1453</v>
      </c>
      <c r="D139" s="269"/>
      <c r="E139" s="757"/>
      <c r="F139" s="544"/>
      <c r="G139" s="757"/>
      <c r="H139" s="269">
        <v>417.48</v>
      </c>
      <c r="I139" s="757">
        <v>580</v>
      </c>
      <c r="J139" s="245"/>
      <c r="K139" s="245"/>
      <c r="L139" s="245"/>
    </row>
    <row r="140" spans="1:36" s="184" customFormat="1" x14ac:dyDescent="0.25">
      <c r="A140" s="695" t="s">
        <v>176</v>
      </c>
      <c r="B140" s="759" t="s">
        <v>165</v>
      </c>
      <c r="C140" s="245" t="s">
        <v>1453</v>
      </c>
      <c r="D140" s="269"/>
      <c r="E140" s="757"/>
      <c r="F140" s="544"/>
      <c r="G140" s="757"/>
      <c r="H140" s="269">
        <v>494.75</v>
      </c>
      <c r="I140" s="757">
        <v>681</v>
      </c>
      <c r="J140" s="245"/>
      <c r="K140" s="245"/>
      <c r="L140" s="245"/>
    </row>
    <row r="141" spans="1:36" s="199" customFormat="1" x14ac:dyDescent="0.25">
      <c r="A141" s="698" t="s">
        <v>433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107</v>
      </c>
      <c r="B142" s="681">
        <v>67</v>
      </c>
      <c r="C142" s="289" t="s">
        <v>1447</v>
      </c>
      <c r="D142" s="269"/>
      <c r="E142" s="757"/>
      <c r="F142" s="544"/>
      <c r="G142" s="757"/>
      <c r="H142" s="269">
        <v>50</v>
      </c>
      <c r="I142" s="757">
        <v>100</v>
      </c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109</v>
      </c>
      <c r="B143" s="775">
        <v>95</v>
      </c>
      <c r="C143" s="245"/>
      <c r="D143" s="269"/>
      <c r="E143" s="757"/>
      <c r="F143" s="544"/>
      <c r="G143" s="757"/>
      <c r="H143" s="269">
        <v>60</v>
      </c>
      <c r="I143" s="757">
        <v>150</v>
      </c>
      <c r="J143" s="245"/>
      <c r="K143" s="245"/>
      <c r="L143" s="245"/>
    </row>
    <row r="144" spans="1:36" s="199" customFormat="1" x14ac:dyDescent="0.25">
      <c r="A144" s="694" t="s">
        <v>432</v>
      </c>
      <c r="B144" s="691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1137</v>
      </c>
      <c r="B145" s="759">
        <v>61</v>
      </c>
      <c r="C145" s="289">
        <v>43718</v>
      </c>
      <c r="D145" s="269"/>
      <c r="E145" s="757"/>
      <c r="F145" s="544"/>
      <c r="G145" s="757"/>
      <c r="H145" s="269">
        <v>35.18</v>
      </c>
      <c r="I145" s="757">
        <v>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99" customFormat="1" x14ac:dyDescent="0.25">
      <c r="A146" s="698" t="s">
        <v>431</v>
      </c>
      <c r="B146" s="690"/>
      <c r="C146" s="249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ht="26.25" x14ac:dyDescent="0.25">
      <c r="A147" s="695" t="s">
        <v>40</v>
      </c>
      <c r="B147" s="759">
        <v>95</v>
      </c>
      <c r="C147" s="289" t="s">
        <v>1461</v>
      </c>
      <c r="D147" s="269"/>
      <c r="E147" s="757"/>
      <c r="F147" s="544"/>
      <c r="G147" s="757"/>
      <c r="H147" s="269">
        <v>35</v>
      </c>
      <c r="I147" s="757">
        <v>1200</v>
      </c>
      <c r="J147" s="245"/>
      <c r="K147" s="245"/>
      <c r="L147" s="245"/>
    </row>
    <row r="148" spans="1:88" s="199" customFormat="1" ht="26.25" x14ac:dyDescent="0.25">
      <c r="A148" s="698" t="s">
        <v>430</v>
      </c>
      <c r="B148" s="690" t="s">
        <v>356</v>
      </c>
      <c r="C148" s="303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355</v>
      </c>
      <c r="B149" s="692"/>
      <c r="C149" s="289" t="s">
        <v>1455</v>
      </c>
      <c r="D149" s="269"/>
      <c r="E149" s="757"/>
      <c r="F149" s="544"/>
      <c r="G149" s="757"/>
      <c r="H149" s="269">
        <v>37.21</v>
      </c>
      <c r="I149" s="757">
        <v>54360</v>
      </c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</row>
    <row r="150" spans="1:88" s="359" customFormat="1" ht="46.5" customHeight="1" x14ac:dyDescent="0.25">
      <c r="A150" s="715"/>
      <c r="B150" s="715"/>
      <c r="C150" s="355"/>
      <c r="D150" s="356"/>
      <c r="E150" s="758"/>
      <c r="F150" s="717"/>
      <c r="G150" s="758"/>
      <c r="H150" s="356"/>
      <c r="I150" s="758"/>
      <c r="J150" s="718"/>
      <c r="K150" s="355"/>
      <c r="L150" s="355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6" sqref="E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1439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315476.46999999997</v>
      </c>
      <c r="D13" s="34"/>
      <c r="E13" s="35" t="s">
        <v>33</v>
      </c>
      <c r="F13" s="34"/>
      <c r="G13" s="42">
        <v>25429.19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1269</v>
      </c>
      <c r="D15" s="34"/>
      <c r="E15" s="35" t="s">
        <v>10</v>
      </c>
      <c r="F15" s="34"/>
      <c r="G15" s="42">
        <v>1160.49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121789</v>
      </c>
      <c r="D17" s="34"/>
      <c r="E17" s="35" t="s">
        <v>278</v>
      </c>
      <c r="F17" s="34"/>
      <c r="G17" s="42">
        <v>10271.84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A8" sqref="A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2.14062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10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1417</v>
      </c>
      <c r="D3" s="328"/>
      <c r="E3" s="763"/>
      <c r="F3" s="620">
        <v>444.93</v>
      </c>
      <c r="G3" s="763">
        <v>882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1419</v>
      </c>
      <c r="D4" s="269"/>
      <c r="E4" s="757"/>
      <c r="F4" s="544">
        <v>53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1418</v>
      </c>
      <c r="D6" s="269"/>
      <c r="E6" s="757"/>
      <c r="F6" s="544">
        <v>22.01</v>
      </c>
      <c r="G6" s="757">
        <v>48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1417</v>
      </c>
      <c r="D7" s="269"/>
      <c r="E7" s="757"/>
      <c r="F7" s="544">
        <v>55.21</v>
      </c>
      <c r="G7" s="757">
        <v>13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1417</v>
      </c>
      <c r="D8" s="269"/>
      <c r="E8" s="757"/>
      <c r="F8" s="544">
        <v>52.14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1423</v>
      </c>
      <c r="D9" s="269"/>
      <c r="E9" s="757"/>
      <c r="F9" s="544">
        <v>40.729999999999997</v>
      </c>
      <c r="G9" s="757">
        <v>29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1422</v>
      </c>
      <c r="D10" s="269"/>
      <c r="E10" s="757"/>
      <c r="F10" s="544">
        <v>86.5</v>
      </c>
      <c r="G10" s="757">
        <v>140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1426</v>
      </c>
      <c r="D11" s="269"/>
      <c r="E11" s="757"/>
      <c r="F11" s="544">
        <v>41.12</v>
      </c>
      <c r="G11" s="757">
        <v>4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1417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1419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1428</v>
      </c>
      <c r="D14" s="269"/>
      <c r="E14" s="757"/>
      <c r="F14" s="544">
        <v>48.93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1421</v>
      </c>
      <c r="D15" s="269"/>
      <c r="E15" s="757"/>
      <c r="F15" s="544">
        <v>53.45</v>
      </c>
      <c r="G15" s="757">
        <v>16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1428</v>
      </c>
      <c r="D16" s="269"/>
      <c r="E16" s="757"/>
      <c r="F16" s="544">
        <v>86.46</v>
      </c>
      <c r="G16" s="757">
        <v>89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1427</v>
      </c>
      <c r="D17" s="269"/>
      <c r="E17" s="757"/>
      <c r="F17" s="544">
        <v>34.06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1427</v>
      </c>
      <c r="D18" s="269"/>
      <c r="E18" s="757"/>
      <c r="F18" s="544">
        <v>46.22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1431</v>
      </c>
      <c r="D20" s="618">
        <v>27.61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1431</v>
      </c>
      <c r="D21" s="618">
        <v>195.69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1431</v>
      </c>
      <c r="D22" s="618">
        <v>814.79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767" t="s">
        <v>1432</v>
      </c>
      <c r="D23" s="618">
        <v>14.66</v>
      </c>
      <c r="E23" s="754">
        <v>21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 t="s">
        <v>1431</v>
      </c>
      <c r="D24" s="618">
        <v>15.94</v>
      </c>
      <c r="E24" s="754">
        <v>70</v>
      </c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767" t="s">
        <v>1433</v>
      </c>
      <c r="D25" s="618">
        <v>150.71</v>
      </c>
      <c r="E25" s="754">
        <v>2079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767" t="s">
        <v>1433</v>
      </c>
      <c r="D26" s="618">
        <v>6162.71</v>
      </c>
      <c r="E26" s="754">
        <v>109000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1431</v>
      </c>
      <c r="D27" s="618">
        <v>433.63</v>
      </c>
      <c r="E27" s="754">
        <v>4540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767" t="s">
        <v>1432</v>
      </c>
      <c r="D28" s="618">
        <v>410.4</v>
      </c>
      <c r="E28" s="754">
        <v>1200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1429</v>
      </c>
      <c r="D29" s="618">
        <v>423.31</v>
      </c>
      <c r="E29" s="754">
        <v>4240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1431</v>
      </c>
      <c r="D30" s="618">
        <v>1243.68</v>
      </c>
      <c r="E30" s="754">
        <v>14400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1429</v>
      </c>
      <c r="D31" s="618">
        <v>1184.69</v>
      </c>
      <c r="E31" s="754">
        <v>16301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1431</v>
      </c>
      <c r="D32" s="618">
        <v>1827.23</v>
      </c>
      <c r="E32" s="754">
        <v>23100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767" t="s">
        <v>1434</v>
      </c>
      <c r="D33" s="618">
        <v>21.23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1431</v>
      </c>
      <c r="D34" s="618">
        <v>13.85</v>
      </c>
      <c r="E34" s="754">
        <v>10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1431</v>
      </c>
      <c r="D35" s="618">
        <v>18.62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1430</v>
      </c>
      <c r="D36" s="618">
        <v>322.42</v>
      </c>
      <c r="E36" s="754">
        <v>3311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1430</v>
      </c>
      <c r="D37" s="618">
        <v>169.93</v>
      </c>
      <c r="E37" s="754">
        <v>2107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767" t="s">
        <v>1432</v>
      </c>
      <c r="D38" s="618">
        <v>438.41</v>
      </c>
      <c r="E38" s="754">
        <v>5666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1429</v>
      </c>
      <c r="D39" s="618">
        <v>151.38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1430</v>
      </c>
      <c r="D40" s="618">
        <v>23.84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767" t="s">
        <v>1434</v>
      </c>
      <c r="D41" s="618">
        <v>52.55</v>
      </c>
      <c r="E41" s="754">
        <v>594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767" t="s">
        <v>1433</v>
      </c>
      <c r="D42" s="618">
        <v>16.079999999999998</v>
      </c>
      <c r="E42" s="754">
        <v>40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1431</v>
      </c>
      <c r="D43" s="618">
        <v>15.94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1431</v>
      </c>
      <c r="D44" s="618">
        <v>19.11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767" t="s">
        <v>1432</v>
      </c>
      <c r="D45" s="618">
        <v>0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1430</v>
      </c>
      <c r="D46" s="618">
        <v>257.81</v>
      </c>
      <c r="E46" s="754">
        <v>1691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1431</v>
      </c>
      <c r="D47" s="618">
        <v>339.52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1431</v>
      </c>
      <c r="D48" s="618">
        <v>249.79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1431</v>
      </c>
      <c r="D49" s="618">
        <v>1900.22</v>
      </c>
      <c r="E49" s="754">
        <v>24600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1430</v>
      </c>
      <c r="D50" s="618">
        <v>23.84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1429</v>
      </c>
      <c r="D51" s="618">
        <v>28.44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767" t="s">
        <v>1434</v>
      </c>
      <c r="D52" s="618">
        <v>90.99</v>
      </c>
      <c r="E52" s="754">
        <v>1023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1430</v>
      </c>
      <c r="D53" s="618">
        <v>116.13</v>
      </c>
      <c r="E53" s="754">
        <v>1384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1431</v>
      </c>
      <c r="D54" s="618">
        <v>22.77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1429</v>
      </c>
      <c r="D55" s="618">
        <v>15.5</v>
      </c>
      <c r="E55" s="754">
        <v>32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1435</v>
      </c>
      <c r="D56" s="618">
        <v>20.82</v>
      </c>
      <c r="E56" s="754">
        <v>104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767" t="s">
        <v>1433</v>
      </c>
      <c r="D57" s="618">
        <v>113.62</v>
      </c>
      <c r="E57" s="754">
        <v>77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1430</v>
      </c>
      <c r="D58" s="618">
        <v>804</v>
      </c>
      <c r="E58" s="754">
        <v>9720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1429</v>
      </c>
      <c r="D59" s="618">
        <v>307.36</v>
      </c>
      <c r="E59" s="754">
        <v>3027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767" t="s">
        <v>1434</v>
      </c>
      <c r="D60" s="618">
        <v>83.37</v>
      </c>
      <c r="E60" s="754">
        <v>1058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1430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1431</v>
      </c>
      <c r="D62" s="618">
        <v>733.17</v>
      </c>
      <c r="E62" s="754">
        <v>8699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1431</v>
      </c>
      <c r="D63" s="618">
        <v>25.6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767" t="s">
        <v>1433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1431</v>
      </c>
      <c r="D65" s="618">
        <v>1078.52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1434</v>
      </c>
      <c r="D66" s="618">
        <v>27.21</v>
      </c>
      <c r="E66" s="754">
        <v>212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767" t="s">
        <v>1432</v>
      </c>
      <c r="D67" s="618">
        <v>57.29</v>
      </c>
      <c r="E67" s="754">
        <v>665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1425</v>
      </c>
      <c r="D69" s="269">
        <v>338.06</v>
      </c>
      <c r="E69" s="757">
        <v>3392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1425</v>
      </c>
      <c r="D70" s="269">
        <v>131.96</v>
      </c>
      <c r="E70" s="757">
        <v>1324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1425</v>
      </c>
      <c r="D71" s="269">
        <v>48.44</v>
      </c>
      <c r="E71" s="757">
        <v>42.47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1425</v>
      </c>
      <c r="D72" s="269">
        <v>7.97</v>
      </c>
      <c r="E72" s="757">
        <v>80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1425</v>
      </c>
      <c r="D73" s="269">
        <v>7.18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1425</v>
      </c>
      <c r="D74" s="269">
        <v>188.07</v>
      </c>
      <c r="E74" s="757">
        <v>1887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1425</v>
      </c>
      <c r="D75" s="269">
        <v>130.46</v>
      </c>
      <c r="E75" s="757">
        <v>1309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1425</v>
      </c>
      <c r="D76" s="269">
        <v>24.12</v>
      </c>
      <c r="E76" s="757">
        <v>242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1425</v>
      </c>
      <c r="D77" s="269">
        <v>43.75</v>
      </c>
      <c r="E77" s="757">
        <v>439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1425</v>
      </c>
      <c r="D78" s="269">
        <v>0.3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1425</v>
      </c>
      <c r="D79" s="269">
        <v>0.7</v>
      </c>
      <c r="E79" s="757">
        <v>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1425</v>
      </c>
      <c r="D80" s="269">
        <v>3.69</v>
      </c>
      <c r="E80" s="757">
        <v>37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1427</v>
      </c>
      <c r="D81" s="328">
        <v>117</v>
      </c>
      <c r="E81" s="763">
        <v>849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1427</v>
      </c>
      <c r="D82" s="269">
        <v>1797</v>
      </c>
      <c r="E82" s="757">
        <v>17040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89" t="s">
        <v>1427</v>
      </c>
      <c r="D84" s="269">
        <v>88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1427</v>
      </c>
      <c r="D85" s="269">
        <v>30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1427</v>
      </c>
      <c r="D86" s="269">
        <v>40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1427</v>
      </c>
      <c r="D87" s="269">
        <v>389</v>
      </c>
      <c r="E87" s="757">
        <v>3000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1427</v>
      </c>
      <c r="D88" s="269">
        <v>287</v>
      </c>
      <c r="E88" s="757">
        <v>24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1420</v>
      </c>
      <c r="D89" s="674">
        <v>257</v>
      </c>
      <c r="E89" s="771">
        <v>29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1425</v>
      </c>
      <c r="D92" s="269">
        <v>103</v>
      </c>
      <c r="E92" s="757">
        <v>664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45" t="s">
        <v>1425</v>
      </c>
      <c r="D93" s="269">
        <v>33</v>
      </c>
      <c r="E93" s="757">
        <v>25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1425</v>
      </c>
      <c r="D94" s="269">
        <v>674.32</v>
      </c>
      <c r="E94" s="757">
        <v>25320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1425</v>
      </c>
      <c r="D95" s="269">
        <v>24.6</v>
      </c>
      <c r="E95" s="757">
        <v>1639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1425</v>
      </c>
      <c r="D96" s="269">
        <v>173.95</v>
      </c>
      <c r="E96" s="757">
        <v>720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1427</v>
      </c>
      <c r="D98" s="269"/>
      <c r="E98" s="757"/>
      <c r="F98" s="544"/>
      <c r="G98" s="757"/>
      <c r="H98" s="269">
        <v>416.72</v>
      </c>
      <c r="I98" s="757">
        <v>579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1427</v>
      </c>
      <c r="D99" s="269"/>
      <c r="E99" s="757"/>
      <c r="F99" s="544"/>
      <c r="G99" s="757"/>
      <c r="H99" s="269">
        <v>262.11</v>
      </c>
      <c r="I99" s="757">
        <v>375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1427</v>
      </c>
      <c r="D100" s="269"/>
      <c r="E100" s="757"/>
      <c r="F100" s="544"/>
      <c r="G100" s="757"/>
      <c r="H100" s="269">
        <v>36.33</v>
      </c>
      <c r="I100" s="757">
        <v>25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1427</v>
      </c>
      <c r="D101" s="269"/>
      <c r="E101" s="757"/>
      <c r="F101" s="544"/>
      <c r="G101" s="757"/>
      <c r="H101" s="269">
        <v>43.81</v>
      </c>
      <c r="I101" s="757">
        <v>39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1427</v>
      </c>
      <c r="D102" s="269"/>
      <c r="E102" s="757"/>
      <c r="F102" s="544"/>
      <c r="G102" s="757"/>
      <c r="H102" s="269">
        <v>43.27</v>
      </c>
      <c r="I102" s="757">
        <v>38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1427</v>
      </c>
      <c r="D103" s="269"/>
      <c r="E103" s="757"/>
      <c r="F103" s="544"/>
      <c r="G103" s="757"/>
      <c r="H103" s="269">
        <v>33.659999999999997</v>
      </c>
      <c r="I103" s="757">
        <v>9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1427</v>
      </c>
      <c r="D104" s="269"/>
      <c r="E104" s="757"/>
      <c r="F104" s="544"/>
      <c r="G104" s="757"/>
      <c r="H104" s="269">
        <v>48.61</v>
      </c>
      <c r="I104" s="757">
        <v>48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1427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1427</v>
      </c>
      <c r="D106" s="269"/>
      <c r="E106" s="757"/>
      <c r="F106" s="544"/>
      <c r="G106" s="757"/>
      <c r="H106" s="269">
        <v>163.35</v>
      </c>
      <c r="I106" s="757">
        <v>234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1427</v>
      </c>
      <c r="D107" s="269"/>
      <c r="E107" s="757"/>
      <c r="F107" s="544"/>
      <c r="G107" s="757"/>
      <c r="H107" s="269">
        <v>147.77000000000001</v>
      </c>
      <c r="I107" s="757">
        <v>210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1427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1427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1427</v>
      </c>
      <c r="D110" s="269"/>
      <c r="E110" s="757"/>
      <c r="F110" s="544"/>
      <c r="G110" s="757"/>
      <c r="H110" s="269">
        <v>33.661000000000001</v>
      </c>
      <c r="I110" s="757">
        <v>15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1427</v>
      </c>
      <c r="D111" s="269"/>
      <c r="E111" s="757"/>
      <c r="F111" s="544"/>
      <c r="G111" s="757"/>
      <c r="H111" s="269">
        <v>33.659999999999997</v>
      </c>
      <c r="I111" s="757">
        <v>3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1427</v>
      </c>
      <c r="D112" s="269"/>
      <c r="E112" s="757"/>
      <c r="F112" s="544"/>
      <c r="G112" s="757"/>
      <c r="H112" s="269">
        <v>33.659999999999997</v>
      </c>
      <c r="I112" s="757">
        <v>4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1427</v>
      </c>
      <c r="D113" s="269"/>
      <c r="E113" s="757"/>
      <c r="F113" s="544"/>
      <c r="G113" s="757"/>
      <c r="H113" s="269">
        <v>33.659999999999997</v>
      </c>
      <c r="I113" s="757">
        <v>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1427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1427</v>
      </c>
      <c r="D115" s="269"/>
      <c r="E115" s="757"/>
      <c r="F115" s="544"/>
      <c r="G115" s="757"/>
      <c r="H115" s="269">
        <v>33.659999999999997</v>
      </c>
      <c r="I115" s="757">
        <v>4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1427</v>
      </c>
      <c r="D116" s="269"/>
      <c r="E116" s="757"/>
      <c r="F116" s="544"/>
      <c r="G116" s="757"/>
      <c r="H116" s="269">
        <v>33.659999999999997</v>
      </c>
      <c r="I116" s="757">
        <v>19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1427</v>
      </c>
      <c r="D117" s="269"/>
      <c r="E117" s="757"/>
      <c r="F117" s="544"/>
      <c r="G117" s="757"/>
      <c r="H117" s="269">
        <v>1776.12</v>
      </c>
      <c r="I117" s="757">
        <v>2356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1427</v>
      </c>
      <c r="D118" s="269"/>
      <c r="E118" s="757"/>
      <c r="F118" s="544"/>
      <c r="G118" s="757"/>
      <c r="H118" s="269">
        <v>430.49</v>
      </c>
      <c r="I118" s="757">
        <v>597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1427</v>
      </c>
      <c r="D119" s="269"/>
      <c r="E119" s="757"/>
      <c r="F119" s="544"/>
      <c r="G119" s="757"/>
      <c r="H119" s="269">
        <v>40.6</v>
      </c>
      <c r="I119" s="757">
        <v>33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1427</v>
      </c>
      <c r="D120" s="269"/>
      <c r="E120" s="757"/>
      <c r="F120" s="544"/>
      <c r="G120" s="757"/>
      <c r="H120" s="269">
        <v>37.93</v>
      </c>
      <c r="I120" s="757">
        <v>28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1427</v>
      </c>
      <c r="D121" s="269"/>
      <c r="E121" s="757"/>
      <c r="F121" s="544"/>
      <c r="G121" s="757"/>
      <c r="H121" s="269">
        <v>33.659999999999997</v>
      </c>
      <c r="I121" s="757">
        <v>10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1427</v>
      </c>
      <c r="D122" s="269"/>
      <c r="E122" s="757"/>
      <c r="F122" s="544"/>
      <c r="G122" s="757"/>
      <c r="H122" s="269">
        <v>33.659999999999997</v>
      </c>
      <c r="I122" s="757">
        <v>12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4" customHeight="1" x14ac:dyDescent="0.25">
      <c r="A124" s="695" t="s">
        <v>983</v>
      </c>
      <c r="B124" s="681" t="s">
        <v>981</v>
      </c>
      <c r="C124" s="245" t="s">
        <v>1427</v>
      </c>
      <c r="D124" s="269"/>
      <c r="E124" s="757"/>
      <c r="F124" s="544"/>
      <c r="G124" s="757"/>
      <c r="H124" s="269">
        <v>392.24</v>
      </c>
      <c r="I124" s="757">
        <v>574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1427</v>
      </c>
      <c r="D126" s="269"/>
      <c r="E126" s="757"/>
      <c r="F126" s="544"/>
      <c r="G126" s="757"/>
      <c r="H126" s="269">
        <v>40.6</v>
      </c>
      <c r="I126" s="757">
        <v>33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1427</v>
      </c>
      <c r="D127" s="269"/>
      <c r="E127" s="757"/>
      <c r="F127" s="544"/>
      <c r="G127" s="757"/>
      <c r="H127" s="269">
        <v>33.659999999999997</v>
      </c>
      <c r="I127" s="757">
        <v>13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1427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1429</v>
      </c>
      <c r="D129" s="269"/>
      <c r="E129" s="757"/>
      <c r="F129" s="544"/>
      <c r="G129" s="757"/>
      <c r="H129" s="269">
        <v>40.07</v>
      </c>
      <c r="I129" s="757">
        <v>32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1427</v>
      </c>
      <c r="D130" s="269"/>
      <c r="E130" s="757"/>
      <c r="F130" s="544"/>
      <c r="G130" s="757"/>
      <c r="H130" s="269">
        <v>204.13</v>
      </c>
      <c r="I130" s="757">
        <v>293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1429</v>
      </c>
      <c r="D131" s="269"/>
      <c r="E131" s="757"/>
      <c r="F131" s="544"/>
      <c r="G131" s="757"/>
      <c r="H131" s="269">
        <v>2118.84</v>
      </c>
      <c r="I131" s="757">
        <v>2804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1429</v>
      </c>
      <c r="D132" s="269"/>
      <c r="E132" s="757"/>
      <c r="F132" s="544"/>
      <c r="G132" s="757"/>
      <c r="H132" s="269">
        <v>33.659999999999997</v>
      </c>
      <c r="I132" s="757">
        <v>15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1427</v>
      </c>
      <c r="D133" s="269"/>
      <c r="E133" s="757"/>
      <c r="F133" s="544"/>
      <c r="G133" s="757"/>
      <c r="H133" s="269">
        <v>2504.4</v>
      </c>
      <c r="I133" s="757">
        <v>3308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1434</v>
      </c>
      <c r="D134" s="269"/>
      <c r="E134" s="757"/>
      <c r="F134" s="544"/>
      <c r="G134" s="757"/>
      <c r="H134" s="269">
        <v>33.659999999999997</v>
      </c>
      <c r="I134" s="757">
        <v>4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1429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1429</v>
      </c>
      <c r="D136" s="269"/>
      <c r="E136" s="757"/>
      <c r="F136" s="544"/>
      <c r="G136" s="757"/>
      <c r="H136" s="269">
        <v>40.6</v>
      </c>
      <c r="I136" s="757">
        <v>33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1429</v>
      </c>
      <c r="D137" s="269"/>
      <c r="E137" s="757"/>
      <c r="F137" s="544"/>
      <c r="G137" s="757"/>
      <c r="H137" s="269">
        <v>391.47</v>
      </c>
      <c r="I137" s="757">
        <v>546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1429</v>
      </c>
      <c r="D138" s="269"/>
      <c r="E138" s="757"/>
      <c r="F138" s="544"/>
      <c r="G138" s="757"/>
      <c r="H138" s="269">
        <v>350.16</v>
      </c>
      <c r="I138" s="757">
        <v>492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1424</v>
      </c>
      <c r="D142" s="269"/>
      <c r="E142" s="757"/>
      <c r="F142" s="544"/>
      <c r="G142" s="757"/>
      <c r="H142" s="269">
        <v>35</v>
      </c>
      <c r="I142" s="757">
        <v>900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 t="s">
        <v>1427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>
        <v>66.16</v>
      </c>
      <c r="I147" s="830">
        <v>108100</v>
      </c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1437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260070.44</v>
      </c>
      <c r="D13" s="34"/>
      <c r="E13" s="35" t="s">
        <v>33</v>
      </c>
      <c r="F13" s="34"/>
      <c r="G13" s="42">
        <v>24301.52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1526</v>
      </c>
      <c r="D15" s="34"/>
      <c r="E15" s="35" t="s">
        <v>10</v>
      </c>
      <c r="F15" s="34"/>
      <c r="G15" s="42">
        <v>1351.76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117854</v>
      </c>
      <c r="D17" s="34"/>
      <c r="E17" s="35" t="s">
        <v>278</v>
      </c>
      <c r="F17" s="34"/>
      <c r="G17" s="42">
        <v>7341.07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24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1417</v>
      </c>
      <c r="D3" s="328"/>
      <c r="E3" s="763"/>
      <c r="F3" s="620">
        <v>761.08</v>
      </c>
      <c r="G3" s="763">
        <v>1029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1404</v>
      </c>
      <c r="D4" s="269"/>
      <c r="E4" s="757"/>
      <c r="F4" s="544">
        <v>52.3</v>
      </c>
      <c r="G4" s="757">
        <v>16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1407</v>
      </c>
      <c r="D5" s="328"/>
      <c r="E5" s="763"/>
      <c r="F5" s="620">
        <v>44.22</v>
      </c>
      <c r="G5" s="763">
        <v>59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1405</v>
      </c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1403</v>
      </c>
      <c r="D7" s="269"/>
      <c r="E7" s="757"/>
      <c r="F7" s="544">
        <v>52.08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1403</v>
      </c>
      <c r="D8" s="269"/>
      <c r="E8" s="757"/>
      <c r="F8" s="544">
        <v>50.21</v>
      </c>
      <c r="G8" s="757">
        <v>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1404</v>
      </c>
      <c r="D10" s="269"/>
      <c r="E10" s="757"/>
      <c r="F10" s="544">
        <v>60.8</v>
      </c>
      <c r="G10" s="757">
        <v>48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60.76</v>
      </c>
      <c r="G11" s="757">
        <v>48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1403</v>
      </c>
      <c r="D12" s="269"/>
      <c r="E12" s="757"/>
      <c r="F12" s="544">
        <v>49.83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1404</v>
      </c>
      <c r="D14" s="269"/>
      <c r="E14" s="757"/>
      <c r="F14" s="544">
        <v>42.31</v>
      </c>
      <c r="G14" s="757">
        <v>51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1404</v>
      </c>
      <c r="D16" s="269"/>
      <c r="E16" s="757"/>
      <c r="F16" s="544">
        <v>102.52</v>
      </c>
      <c r="G16" s="757">
        <v>147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29.43</v>
      </c>
      <c r="G17" s="757">
        <v>59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46.22</v>
      </c>
      <c r="G18" s="757">
        <v>59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1414</v>
      </c>
      <c r="D20" s="618">
        <v>27.45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1414</v>
      </c>
      <c r="D21" s="618">
        <v>195.13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1414</v>
      </c>
      <c r="D22" s="618">
        <v>810.76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546" t="s">
        <v>1412</v>
      </c>
      <c r="D23" s="618">
        <v>12.27</v>
      </c>
      <c r="E23" s="754">
        <v>30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/>
      <c r="D24" s="618"/>
      <c r="E24" s="754"/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546" t="s">
        <v>1409</v>
      </c>
      <c r="D25" s="618">
        <v>143.88999999999999</v>
      </c>
      <c r="E25" s="754">
        <v>1828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546" t="s">
        <v>1409</v>
      </c>
      <c r="D26" s="618">
        <v>6331.07</v>
      </c>
      <c r="E26" s="754">
        <v>100000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1414</v>
      </c>
      <c r="D27" s="618">
        <v>382.56</v>
      </c>
      <c r="E27" s="754">
        <v>3895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546" t="s">
        <v>1411</v>
      </c>
      <c r="D28" s="618">
        <v>369.73</v>
      </c>
      <c r="E28" s="754">
        <v>300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1413</v>
      </c>
      <c r="D29" s="618">
        <v>279.99</v>
      </c>
      <c r="E29" s="754">
        <v>1120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1396</v>
      </c>
      <c r="D30" s="618">
        <v>830.69</v>
      </c>
      <c r="E30" s="754">
        <v>8160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767" t="s">
        <v>1413</v>
      </c>
      <c r="D31" s="618">
        <v>1141.24</v>
      </c>
      <c r="E31" s="754">
        <v>16276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1396</v>
      </c>
      <c r="D32" s="618">
        <v>1241.77</v>
      </c>
      <c r="E32" s="754">
        <v>15420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546" t="s">
        <v>1409</v>
      </c>
      <c r="D33" s="618">
        <v>23.29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1414</v>
      </c>
      <c r="D34" s="618">
        <v>13.67</v>
      </c>
      <c r="E34" s="754">
        <v>8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1396</v>
      </c>
      <c r="D35" s="618">
        <v>18.46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1416</v>
      </c>
      <c r="D36" s="618">
        <v>289.39</v>
      </c>
      <c r="E36" s="754">
        <v>2941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1416</v>
      </c>
      <c r="D37" s="618">
        <v>158.47999999999999</v>
      </c>
      <c r="E37" s="754">
        <v>2046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1409</v>
      </c>
      <c r="D38" s="618">
        <v>408.58</v>
      </c>
      <c r="E38" s="754" t="s">
        <v>1410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1413</v>
      </c>
      <c r="D39" s="618">
        <v>258.95999999999998</v>
      </c>
      <c r="E39" s="754">
        <v>2174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/>
      <c r="D40" s="618"/>
      <c r="E40" s="754"/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1409</v>
      </c>
      <c r="D41" s="618">
        <v>55.26</v>
      </c>
      <c r="E41" s="754">
        <v>574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1412</v>
      </c>
      <c r="D42" s="618">
        <v>16.149999999999999</v>
      </c>
      <c r="E42" s="754">
        <v>42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1414</v>
      </c>
      <c r="D43" s="618">
        <v>247.85</v>
      </c>
      <c r="E43" s="754">
        <v>980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1414</v>
      </c>
      <c r="D44" s="618">
        <v>19.04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1409</v>
      </c>
      <c r="D45" s="618">
        <v>26.24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1416</v>
      </c>
      <c r="D46" s="618">
        <v>213.44</v>
      </c>
      <c r="E46" s="754">
        <v>1407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1414</v>
      </c>
      <c r="D47" s="618">
        <v>337.79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1414</v>
      </c>
      <c r="D48" s="618">
        <v>247.85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1414</v>
      </c>
      <c r="D49" s="618">
        <v>1567.43</v>
      </c>
      <c r="E49" s="754">
        <v>20280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1416</v>
      </c>
      <c r="D50" s="618">
        <v>23.45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1413</v>
      </c>
      <c r="D51" s="618">
        <v>28.16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1409</v>
      </c>
      <c r="D52" s="618">
        <v>80.31</v>
      </c>
      <c r="E52" s="754">
        <v>808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1416</v>
      </c>
      <c r="D53" s="618">
        <v>112.88</v>
      </c>
      <c r="E53" s="754">
        <v>1404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1416</v>
      </c>
      <c r="D54" s="618">
        <v>22.63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1413</v>
      </c>
      <c r="D55" s="618">
        <v>46.42</v>
      </c>
      <c r="E55" s="754">
        <v>34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1413</v>
      </c>
      <c r="D56" s="618">
        <v>39.96</v>
      </c>
      <c r="E56" s="754">
        <v>373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1412</v>
      </c>
      <c r="D57" s="618">
        <v>114.06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/>
      <c r="D58" s="618">
        <v>748.38</v>
      </c>
      <c r="E58" s="754">
        <v>8140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1413</v>
      </c>
      <c r="D59" s="618">
        <v>241.74</v>
      </c>
      <c r="E59" s="754">
        <v>2593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1409</v>
      </c>
      <c r="D60" s="618">
        <v>22.3</v>
      </c>
      <c r="E60" s="754">
        <v>125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1416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1396</v>
      </c>
      <c r="D62" s="618">
        <v>521.87</v>
      </c>
      <c r="E62" s="754">
        <v>5101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1414</v>
      </c>
      <c r="D63" s="618">
        <v>25.47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1412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1414</v>
      </c>
      <c r="D65" s="618">
        <v>1069.8399999999999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1409</v>
      </c>
      <c r="D66" s="618">
        <v>29.56</v>
      </c>
      <c r="E66" s="754">
        <v>224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1409</v>
      </c>
      <c r="D67" s="618">
        <v>16.07</v>
      </c>
      <c r="E67" s="754">
        <v>40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1406</v>
      </c>
      <c r="D69" s="269">
        <v>268</v>
      </c>
      <c r="E69" s="757">
        <v>2726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1406</v>
      </c>
      <c r="D70" s="269">
        <v>163</v>
      </c>
      <c r="E70" s="757">
        <v>1291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1406</v>
      </c>
      <c r="D71" s="269">
        <v>91</v>
      </c>
      <c r="E71" s="757">
        <v>470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1406</v>
      </c>
      <c r="D72" s="269">
        <v>37</v>
      </c>
      <c r="E72" s="757">
        <v>70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1406</v>
      </c>
      <c r="D73" s="269">
        <v>37</v>
      </c>
      <c r="E73" s="757">
        <v>71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1406</v>
      </c>
      <c r="D74" s="269">
        <v>218</v>
      </c>
      <c r="E74" s="757">
        <v>1920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1406</v>
      </c>
      <c r="D75" s="269">
        <v>96</v>
      </c>
      <c r="E75" s="757">
        <v>844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1406</v>
      </c>
      <c r="D76" s="269">
        <v>52</v>
      </c>
      <c r="E76" s="757">
        <v>248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1406</v>
      </c>
      <c r="D77" s="269">
        <v>82</v>
      </c>
      <c r="E77" s="757">
        <v>362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1406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1406</v>
      </c>
      <c r="D79" s="269">
        <v>31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1406</v>
      </c>
      <c r="D80" s="269">
        <v>53.75</v>
      </c>
      <c r="E80" s="757">
        <v>43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1406</v>
      </c>
      <c r="D81" s="328">
        <v>88</v>
      </c>
      <c r="E81" s="763">
        <v>491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1406</v>
      </c>
      <c r="D82" s="269">
        <v>1641</v>
      </c>
      <c r="E82" s="757">
        <v>14880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1406</v>
      </c>
      <c r="D83" s="269">
        <v>89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1406</v>
      </c>
      <c r="D84" s="269">
        <v>31</v>
      </c>
      <c r="E84" s="757">
        <v>4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1406</v>
      </c>
      <c r="D85" s="269">
        <v>40</v>
      </c>
      <c r="E85" s="757">
        <v>18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1406</v>
      </c>
      <c r="D89" s="674">
        <v>263</v>
      </c>
      <c r="E89" s="771">
        <v>23.44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1406</v>
      </c>
      <c r="D90" s="269">
        <v>140</v>
      </c>
      <c r="E90" s="757">
        <v>553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1406</v>
      </c>
      <c r="D91" s="269">
        <v>50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1406</v>
      </c>
      <c r="D92" s="269">
        <v>113</v>
      </c>
      <c r="E92" s="757">
        <v>742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1406</v>
      </c>
      <c r="D93" s="269">
        <v>87</v>
      </c>
      <c r="E93" s="757">
        <v>654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1406</v>
      </c>
      <c r="D94" s="269">
        <v>1490</v>
      </c>
      <c r="E94" s="757">
        <v>18840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1406</v>
      </c>
      <c r="D95" s="269">
        <v>50</v>
      </c>
      <c r="E95" s="757">
        <v>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1406</v>
      </c>
      <c r="D96" s="269">
        <v>222</v>
      </c>
      <c r="E96" s="757">
        <v>600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1406</v>
      </c>
      <c r="D98" s="269"/>
      <c r="E98" s="757"/>
      <c r="F98" s="544"/>
      <c r="G98" s="757"/>
      <c r="H98" s="269">
        <v>182.92</v>
      </c>
      <c r="I98" s="757">
        <v>263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1406</v>
      </c>
      <c r="D99" s="269"/>
      <c r="E99" s="757"/>
      <c r="F99" s="544"/>
      <c r="G99" s="757"/>
      <c r="H99" s="269">
        <v>183.63</v>
      </c>
      <c r="I99" s="757">
        <v>264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1406</v>
      </c>
      <c r="D100" s="269"/>
      <c r="E100" s="757"/>
      <c r="F100" s="544"/>
      <c r="G100" s="757"/>
      <c r="H100" s="269">
        <v>37.4</v>
      </c>
      <c r="I100" s="757">
        <v>27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1406</v>
      </c>
      <c r="D101" s="269"/>
      <c r="E101" s="757"/>
      <c r="F101" s="544"/>
      <c r="G101" s="757"/>
      <c r="H101" s="269">
        <v>42.2</v>
      </c>
      <c r="I101" s="757">
        <v>36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1406</v>
      </c>
      <c r="D102" s="269"/>
      <c r="E102" s="757"/>
      <c r="F102" s="544"/>
      <c r="G102" s="757"/>
      <c r="H102" s="269">
        <v>44.34</v>
      </c>
      <c r="I102" s="757">
        <v>40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1406</v>
      </c>
      <c r="D103" s="269"/>
      <c r="E103" s="757"/>
      <c r="F103" s="544"/>
      <c r="G103" s="757"/>
      <c r="H103" s="269">
        <v>33.659999999999997</v>
      </c>
      <c r="I103" s="757">
        <v>10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1406</v>
      </c>
      <c r="D104" s="269"/>
      <c r="E104" s="757"/>
      <c r="F104" s="544"/>
      <c r="G104" s="757"/>
      <c r="H104" s="269">
        <v>245.14</v>
      </c>
      <c r="I104" s="757">
        <v>351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1406</v>
      </c>
      <c r="D105" s="269"/>
      <c r="E105" s="757"/>
      <c r="F105" s="544"/>
      <c r="G105" s="757"/>
      <c r="H105" s="269">
        <v>33.659999999999997</v>
      </c>
      <c r="I105" s="757">
        <v>1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1406</v>
      </c>
      <c r="D106" s="269"/>
      <c r="E106" s="757"/>
      <c r="F106" s="544"/>
      <c r="G106" s="757"/>
      <c r="H106" s="269">
        <v>151.02000000000001</v>
      </c>
      <c r="I106" s="757">
        <v>215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1406</v>
      </c>
      <c r="D107" s="269"/>
      <c r="E107" s="757"/>
      <c r="F107" s="544"/>
      <c r="G107" s="757"/>
      <c r="H107" s="269">
        <v>101.04</v>
      </c>
      <c r="I107" s="757">
        <v>138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1406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1406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1406</v>
      </c>
      <c r="D110" s="269"/>
      <c r="E110" s="757"/>
      <c r="F110" s="544"/>
      <c r="G110" s="757"/>
      <c r="H110" s="269">
        <v>33.659999999999997</v>
      </c>
      <c r="I110" s="757">
        <v>7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1406</v>
      </c>
      <c r="D111" s="269"/>
      <c r="E111" s="757"/>
      <c r="F111" s="544"/>
      <c r="G111" s="757"/>
      <c r="H111" s="269">
        <v>37.4</v>
      </c>
      <c r="I111" s="757">
        <v>27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89">
        <v>43617</v>
      </c>
      <c r="D112" s="269"/>
      <c r="E112" s="757"/>
      <c r="F112" s="544"/>
      <c r="G112" s="757"/>
      <c r="H112" s="269">
        <v>33.659999999999997</v>
      </c>
      <c r="I112" s="757">
        <v>12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>
        <v>43617</v>
      </c>
      <c r="D113" s="269"/>
      <c r="E113" s="757"/>
      <c r="F113" s="544"/>
      <c r="G113" s="757"/>
      <c r="H113" s="269">
        <v>33.659999999999997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1406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1406</v>
      </c>
      <c r="D115" s="269"/>
      <c r="E115" s="757"/>
      <c r="F115" s="544"/>
      <c r="G115" s="757"/>
      <c r="H115" s="269">
        <v>39.53</v>
      </c>
      <c r="I115" s="757">
        <v>31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1406</v>
      </c>
      <c r="D116" s="269"/>
      <c r="E116" s="757"/>
      <c r="F116" s="544"/>
      <c r="G116" s="757"/>
      <c r="H116" s="269">
        <v>33.659999999999997</v>
      </c>
      <c r="I116" s="757">
        <v>13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1406</v>
      </c>
      <c r="D117" s="269"/>
      <c r="E117" s="757"/>
      <c r="F117" s="544"/>
      <c r="G117" s="757"/>
      <c r="H117" s="269">
        <v>822.93</v>
      </c>
      <c r="I117" s="757">
        <v>1110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1406</v>
      </c>
      <c r="D118" s="269"/>
      <c r="E118" s="757"/>
      <c r="F118" s="544"/>
      <c r="G118" s="757"/>
      <c r="H118" s="269">
        <v>419.78</v>
      </c>
      <c r="I118" s="757">
        <v>583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1406</v>
      </c>
      <c r="D119" s="269"/>
      <c r="E119" s="757"/>
      <c r="F119" s="544"/>
      <c r="G119" s="757"/>
      <c r="H119" s="269">
        <v>58.76</v>
      </c>
      <c r="I119" s="757">
        <v>67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1406</v>
      </c>
      <c r="D120" s="269"/>
      <c r="E120" s="757"/>
      <c r="F120" s="544"/>
      <c r="G120" s="757"/>
      <c r="H120" s="269">
        <v>35.799999999999997</v>
      </c>
      <c r="I120" s="757">
        <v>24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1406</v>
      </c>
      <c r="D121" s="269"/>
      <c r="E121" s="757"/>
      <c r="F121" s="544"/>
      <c r="G121" s="757"/>
      <c r="H121" s="269">
        <v>33.659999999999997</v>
      </c>
      <c r="I121" s="757">
        <v>3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1406</v>
      </c>
      <c r="D122" s="269"/>
      <c r="E122" s="757"/>
      <c r="F122" s="544"/>
      <c r="G122" s="757"/>
      <c r="H122" s="269">
        <v>33.659999999999997</v>
      </c>
      <c r="I122" s="757">
        <v>2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1406</v>
      </c>
      <c r="D123" s="269"/>
      <c r="E123" s="757"/>
      <c r="F123" s="544"/>
      <c r="G123" s="757"/>
      <c r="H123" s="269">
        <v>33.659999999999997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89">
        <v>43617</v>
      </c>
      <c r="D124" s="269"/>
      <c r="E124" s="757"/>
      <c r="F124" s="544"/>
      <c r="G124" s="757"/>
      <c r="H124" s="269">
        <v>205.55199999999999</v>
      </c>
      <c r="I124" s="757">
        <v>295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1406</v>
      </c>
      <c r="D125" s="269"/>
      <c r="E125" s="757"/>
      <c r="F125" s="544"/>
      <c r="G125" s="757"/>
      <c r="H125" s="269">
        <v>50.49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1406</v>
      </c>
      <c r="D127" s="269"/>
      <c r="E127" s="757"/>
      <c r="F127" s="544"/>
      <c r="G127" s="757"/>
      <c r="H127" s="269">
        <v>33.659999999999997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89">
        <v>43617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1413</v>
      </c>
      <c r="D129" s="269"/>
      <c r="E129" s="757"/>
      <c r="F129" s="544"/>
      <c r="G129" s="757"/>
      <c r="H129" s="269">
        <v>52.88</v>
      </c>
      <c r="I129" s="757">
        <v>56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>
        <v>43617</v>
      </c>
      <c r="D130" s="269"/>
      <c r="E130" s="757"/>
      <c r="F130" s="544"/>
      <c r="G130" s="757"/>
      <c r="H130" s="269">
        <v>194</v>
      </c>
      <c r="I130" s="757">
        <v>285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1413</v>
      </c>
      <c r="D131" s="269"/>
      <c r="E131" s="757"/>
      <c r="F131" s="544"/>
      <c r="G131" s="757"/>
      <c r="H131" s="269">
        <v>695.94</v>
      </c>
      <c r="I131" s="757">
        <v>944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1413</v>
      </c>
      <c r="D132" s="269"/>
      <c r="E132" s="757"/>
      <c r="F132" s="544"/>
      <c r="G132" s="757"/>
      <c r="H132" s="269">
        <v>33.659999999999997</v>
      </c>
      <c r="I132" s="757">
        <v>14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1413</v>
      </c>
      <c r="D133" s="269"/>
      <c r="E133" s="757"/>
      <c r="F133" s="544"/>
      <c r="G133" s="757"/>
      <c r="H133" s="269">
        <v>2095.89</v>
      </c>
      <c r="I133" s="757">
        <v>2774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1413</v>
      </c>
      <c r="D134" s="269"/>
      <c r="E134" s="757"/>
      <c r="F134" s="544"/>
      <c r="G134" s="757"/>
      <c r="H134" s="269">
        <v>60.36</v>
      </c>
      <c r="I134" s="757">
        <v>70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1413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1413</v>
      </c>
      <c r="D136" s="269"/>
      <c r="E136" s="757"/>
      <c r="F136" s="544"/>
      <c r="G136" s="757"/>
      <c r="H136" s="269">
        <v>45.94</v>
      </c>
      <c r="I136" s="757">
        <v>43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1413</v>
      </c>
      <c r="D137" s="269"/>
      <c r="E137" s="757"/>
      <c r="F137" s="544"/>
      <c r="G137" s="757"/>
      <c r="H137" s="269">
        <v>247.97</v>
      </c>
      <c r="I137" s="757">
        <v>355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1413</v>
      </c>
      <c r="D138" s="269"/>
      <c r="E138" s="757"/>
      <c r="F138" s="544"/>
      <c r="G138" s="757"/>
      <c r="H138" s="269">
        <v>276.95</v>
      </c>
      <c r="I138" s="757">
        <v>396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1413</v>
      </c>
      <c r="D139" s="269"/>
      <c r="E139" s="757"/>
      <c r="F139" s="544"/>
      <c r="G139" s="757"/>
      <c r="H139" s="269">
        <v>376.49</v>
      </c>
      <c r="I139" s="757">
        <v>474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1408</v>
      </c>
      <c r="D146" s="269"/>
      <c r="E146" s="757"/>
      <c r="F146" s="544"/>
      <c r="G146" s="757"/>
      <c r="H146" s="269">
        <v>32</v>
      </c>
      <c r="I146" s="757">
        <v>800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1415</v>
      </c>
      <c r="D148" s="269"/>
      <c r="E148" s="757"/>
      <c r="F148" s="544"/>
      <c r="G148" s="757"/>
      <c r="H148" s="269">
        <v>66.16</v>
      </c>
      <c r="I148" s="757">
        <v>108100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1438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244953.7</v>
      </c>
      <c r="D13" s="34"/>
      <c r="E13" s="35" t="s">
        <v>33</v>
      </c>
      <c r="F13" s="34"/>
      <c r="G13" s="42">
        <v>229323.16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1005</v>
      </c>
      <c r="D15" s="34"/>
      <c r="E15" s="35" t="s">
        <v>10</v>
      </c>
      <c r="F15" s="34"/>
      <c r="G15" s="42">
        <v>1601.7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7709</v>
      </c>
      <c r="D17" s="34"/>
      <c r="E17" s="35" t="s">
        <v>278</v>
      </c>
      <c r="F17" s="34"/>
      <c r="G17" s="42">
        <v>5390.47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3" activePane="bottomLeft" state="frozen"/>
      <selection pane="bottomLeft" activeCell="L42" sqref="L4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9.285156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1384</v>
      </c>
      <c r="D3" s="328"/>
      <c r="E3" s="763"/>
      <c r="F3" s="620">
        <v>293.38</v>
      </c>
      <c r="G3" s="763">
        <v>644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1385</v>
      </c>
      <c r="D4" s="269"/>
      <c r="E4" s="757"/>
      <c r="F4" s="544">
        <v>57.68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1382</v>
      </c>
      <c r="D5" s="328"/>
      <c r="E5" s="763"/>
      <c r="F5" s="620">
        <v>70.739999999999995</v>
      </c>
      <c r="G5" s="763">
        <v>64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1385</v>
      </c>
      <c r="D6" s="269"/>
      <c r="E6" s="757"/>
      <c r="F6" s="544">
        <v>59.6</v>
      </c>
      <c r="G6" s="757">
        <v>35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1381</v>
      </c>
      <c r="D7" s="269"/>
      <c r="E7" s="757"/>
      <c r="F7" s="544">
        <v>41.09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1366</v>
      </c>
      <c r="D8" s="269"/>
      <c r="E8" s="757"/>
      <c r="F8" s="544">
        <v>44.07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1383</v>
      </c>
      <c r="D9" s="269"/>
      <c r="E9" s="757"/>
      <c r="F9" s="544">
        <v>50.77</v>
      </c>
      <c r="G9" s="757">
        <v>12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1383</v>
      </c>
      <c r="D10" s="269"/>
      <c r="E10" s="757"/>
      <c r="F10" s="544">
        <v>147.94999999999999</v>
      </c>
      <c r="G10" s="757">
        <v>37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1387</v>
      </c>
      <c r="D11" s="269"/>
      <c r="E11" s="757"/>
      <c r="F11" s="544">
        <v>474.7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1381</v>
      </c>
      <c r="D12" s="269"/>
      <c r="E12" s="757"/>
      <c r="F12" s="544">
        <v>41.84</v>
      </c>
      <c r="G12" s="757">
        <v>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1395</v>
      </c>
      <c r="D13" s="269"/>
      <c r="E13" s="757"/>
      <c r="F13" s="544">
        <v>46.16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1388</v>
      </c>
      <c r="D14" s="269"/>
      <c r="E14" s="757"/>
      <c r="F14" s="544">
        <v>69.58</v>
      </c>
      <c r="G14" s="757">
        <v>61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1385</v>
      </c>
      <c r="D15" s="269"/>
      <c r="E15" s="757"/>
      <c r="F15" s="544">
        <v>51.16</v>
      </c>
      <c r="G15" s="757">
        <v>13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1388</v>
      </c>
      <c r="D16" s="269"/>
      <c r="E16" s="757"/>
      <c r="F16" s="544">
        <v>75.72</v>
      </c>
      <c r="G16" s="757">
        <v>77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1393</v>
      </c>
      <c r="D17" s="269"/>
      <c r="E17" s="757"/>
      <c r="F17" s="544">
        <v>30.71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1393</v>
      </c>
      <c r="D18" s="269"/>
      <c r="E18" s="757"/>
      <c r="F18" s="544">
        <v>46.55</v>
      </c>
      <c r="G18" s="757">
        <v>1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1379</v>
      </c>
      <c r="D20" s="618">
        <v>27.1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1379</v>
      </c>
      <c r="D21" s="618">
        <v>191.64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1379</v>
      </c>
      <c r="D22" s="618">
        <v>785.95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546" t="s">
        <v>1392</v>
      </c>
      <c r="D23" s="618">
        <v>15.03</v>
      </c>
      <c r="E23" s="754">
        <v>27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 t="s">
        <v>1379</v>
      </c>
      <c r="D24" s="618">
        <v>15.49</v>
      </c>
      <c r="E24" s="754">
        <v>70</v>
      </c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546" t="s">
        <v>1392</v>
      </c>
      <c r="D25" s="618">
        <v>118.49</v>
      </c>
      <c r="E25" s="754">
        <v>1514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546" t="s">
        <v>1392</v>
      </c>
      <c r="D26" s="618">
        <v>6210.23</v>
      </c>
      <c r="E26" s="754">
        <v>99400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1379</v>
      </c>
      <c r="D27" s="618">
        <v>306.22000000000003</v>
      </c>
      <c r="E27" s="754">
        <v>2665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546" t="s">
        <v>1392</v>
      </c>
      <c r="D28" s="618">
        <v>384.77</v>
      </c>
      <c r="E28" s="754">
        <v>600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1399</v>
      </c>
      <c r="D29" s="618">
        <v>102.45</v>
      </c>
      <c r="E29" s="754">
        <v>320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1396</v>
      </c>
      <c r="D30" s="618">
        <v>830.69</v>
      </c>
      <c r="E30" s="754">
        <v>8160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1399</v>
      </c>
      <c r="D31" s="618">
        <v>913</v>
      </c>
      <c r="E31" s="754">
        <v>12061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1379</v>
      </c>
      <c r="D32" s="618">
        <v>1131.32</v>
      </c>
      <c r="E32" s="754">
        <v>13260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546" t="s">
        <v>1393</v>
      </c>
      <c r="D33" s="618">
        <v>22.23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1379</v>
      </c>
      <c r="D34" s="618">
        <v>13.12</v>
      </c>
      <c r="E34" s="754">
        <v>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1379</v>
      </c>
      <c r="D35" s="618">
        <v>18.11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1397</v>
      </c>
      <c r="D36" s="618">
        <v>223.01</v>
      </c>
      <c r="E36" s="754">
        <v>1565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1397</v>
      </c>
      <c r="D37" s="618">
        <v>53.86</v>
      </c>
      <c r="E37" s="754">
        <v>569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1392</v>
      </c>
      <c r="D38" s="618">
        <v>364.98</v>
      </c>
      <c r="E38" s="754">
        <v>3925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1399</v>
      </c>
      <c r="D39" s="618">
        <v>67.81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1397</v>
      </c>
      <c r="D40" s="618">
        <v>23.45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1393</v>
      </c>
      <c r="D41" s="618">
        <v>47.48</v>
      </c>
      <c r="E41" s="754">
        <v>480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1398</v>
      </c>
      <c r="D42" s="618">
        <v>16.32</v>
      </c>
      <c r="E42" s="754">
        <v>45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1379</v>
      </c>
      <c r="D43" s="618">
        <v>15.49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1379</v>
      </c>
      <c r="D44" s="618">
        <v>18.600000000000001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1392</v>
      </c>
      <c r="D45" s="618">
        <v>26.24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1397</v>
      </c>
      <c r="D46" s="618">
        <v>239.51</v>
      </c>
      <c r="E46" s="754">
        <v>1442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1379</v>
      </c>
      <c r="D47" s="618">
        <v>327.19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1379</v>
      </c>
      <c r="D48" s="618">
        <v>243.6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1396</v>
      </c>
      <c r="D49" s="618">
        <v>1313.51</v>
      </c>
      <c r="E49" s="754">
        <v>16020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1397</v>
      </c>
      <c r="D50" s="618">
        <v>23.45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1399</v>
      </c>
      <c r="D51" s="618">
        <v>28.03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1393</v>
      </c>
      <c r="D52" s="618">
        <v>94.78</v>
      </c>
      <c r="E52" s="754">
        <v>1004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1397</v>
      </c>
      <c r="D53" s="618">
        <v>107.66</v>
      </c>
      <c r="E53" s="754">
        <v>1320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1396</v>
      </c>
      <c r="D54" s="618">
        <v>22.46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1399</v>
      </c>
      <c r="D55" s="618">
        <v>48.94</v>
      </c>
      <c r="E55" s="754">
        <v>44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1400</v>
      </c>
      <c r="D56" s="618">
        <v>79.37</v>
      </c>
      <c r="E56" s="754">
        <v>937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1398</v>
      </c>
      <c r="D57" s="618">
        <v>109.98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1397</v>
      </c>
      <c r="D58" s="618">
        <v>711.45</v>
      </c>
      <c r="E58" s="754">
        <v>8760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1399</v>
      </c>
      <c r="D59" s="618">
        <v>233.19</v>
      </c>
      <c r="E59" s="754">
        <v>2357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1393</v>
      </c>
      <c r="D60" s="618">
        <v>22.36</v>
      </c>
      <c r="E60" s="754">
        <v>129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1397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1379</v>
      </c>
      <c r="D62" s="618">
        <v>405.94</v>
      </c>
      <c r="E62" s="754">
        <v>3152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1379</v>
      </c>
      <c r="D63" s="618">
        <v>24.72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1398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1379</v>
      </c>
      <c r="D65" s="618">
        <v>1021.61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1392</v>
      </c>
      <c r="D66" s="618">
        <v>30.44</v>
      </c>
      <c r="E66" s="754">
        <v>242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1392</v>
      </c>
      <c r="D67" s="618">
        <v>65.41</v>
      </c>
      <c r="E67" s="754">
        <v>731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1390</v>
      </c>
      <c r="D69" s="269">
        <v>211</v>
      </c>
      <c r="E69" s="757">
        <v>2013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1390</v>
      </c>
      <c r="D70" s="269">
        <v>148</v>
      </c>
      <c r="E70" s="757">
        <v>1093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1390</v>
      </c>
      <c r="D71" s="269">
        <v>95.54</v>
      </c>
      <c r="E71" s="757">
        <v>468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1390</v>
      </c>
      <c r="D72" s="269">
        <v>37</v>
      </c>
      <c r="E72" s="757">
        <v>76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1390</v>
      </c>
      <c r="D73" s="269">
        <v>251</v>
      </c>
      <c r="E73" s="757">
        <v>2234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1390</v>
      </c>
      <c r="D74" s="269">
        <v>251</v>
      </c>
      <c r="E74" s="757">
        <v>2234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1390</v>
      </c>
      <c r="D75" s="269">
        <v>63</v>
      </c>
      <c r="E75" s="757">
        <v>453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1390</v>
      </c>
      <c r="D76" s="269">
        <v>54</v>
      </c>
      <c r="E76" s="757">
        <v>259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ht="39" x14ac:dyDescent="0.25">
      <c r="A77" s="695" t="s">
        <v>1401</v>
      </c>
      <c r="B77" s="681" t="s">
        <v>217</v>
      </c>
      <c r="C77" s="289" t="s">
        <v>1390</v>
      </c>
      <c r="D77" s="269">
        <v>78</v>
      </c>
      <c r="E77" s="757">
        <v>305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1390</v>
      </c>
      <c r="D78" s="269">
        <v>31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1390</v>
      </c>
      <c r="D79" s="269">
        <v>31</v>
      </c>
      <c r="E79" s="757">
        <v>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1390</v>
      </c>
      <c r="D80" s="269">
        <v>71.7</v>
      </c>
      <c r="E80" s="757">
        <v>242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1390</v>
      </c>
      <c r="D81" s="328">
        <v>115</v>
      </c>
      <c r="E81" s="763">
        <v>771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1390</v>
      </c>
      <c r="D82" s="269">
        <v>1795</v>
      </c>
      <c r="E82" s="757">
        <v>15120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1390</v>
      </c>
      <c r="D84" s="269">
        <v>89</v>
      </c>
      <c r="E84" s="757">
        <v>14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1390</v>
      </c>
      <c r="D85" s="269">
        <v>31</v>
      </c>
      <c r="E85" s="757">
        <v>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1390</v>
      </c>
      <c r="D86" s="269">
        <v>40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1390</v>
      </c>
      <c r="D89" s="674">
        <v>268</v>
      </c>
      <c r="E89" s="771">
        <v>18.7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1390</v>
      </c>
      <c r="D90" s="269">
        <v>128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1390</v>
      </c>
      <c r="D91" s="269">
        <v>51</v>
      </c>
      <c r="E91" s="757">
        <v>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1390</v>
      </c>
      <c r="D92" s="269">
        <v>118</v>
      </c>
      <c r="E92" s="757">
        <v>777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1390</v>
      </c>
      <c r="D93" s="269">
        <v>96</v>
      </c>
      <c r="E93" s="757">
        <v>735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1390</v>
      </c>
      <c r="D94" s="269">
        <v>1442</v>
      </c>
      <c r="E94" s="757">
        <v>16680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1391</v>
      </c>
      <c r="D95" s="269">
        <v>65</v>
      </c>
      <c r="E95" s="757">
        <v>161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1390</v>
      </c>
      <c r="D96" s="269">
        <v>240</v>
      </c>
      <c r="E96" s="757">
        <v>960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1390</v>
      </c>
      <c r="D98" s="269"/>
      <c r="E98" s="757"/>
      <c r="F98" s="544"/>
      <c r="G98" s="757"/>
      <c r="H98" s="269">
        <v>136.74</v>
      </c>
      <c r="I98" s="757">
        <v>193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1390</v>
      </c>
      <c r="D99" s="269"/>
      <c r="E99" s="757"/>
      <c r="F99" s="544"/>
      <c r="G99" s="757"/>
      <c r="H99" s="269">
        <v>109.48</v>
      </c>
      <c r="I99" s="757">
        <v>151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1390</v>
      </c>
      <c r="D100" s="269"/>
      <c r="E100" s="757"/>
      <c r="F100" s="544"/>
      <c r="G100" s="757"/>
      <c r="H100" s="269">
        <v>33.659999999999997</v>
      </c>
      <c r="I100" s="757">
        <v>19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1390</v>
      </c>
      <c r="D101" s="269"/>
      <c r="E101" s="757"/>
      <c r="F101" s="544"/>
      <c r="G101" s="757"/>
      <c r="H101" s="269">
        <v>40.700000000000003</v>
      </c>
      <c r="I101" s="757">
        <v>32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1390</v>
      </c>
      <c r="D102" s="269"/>
      <c r="E102" s="757"/>
      <c r="F102" s="544"/>
      <c r="G102" s="757"/>
      <c r="H102" s="269">
        <v>39.53</v>
      </c>
      <c r="I102" s="757">
        <v>31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1390</v>
      </c>
      <c r="D103" s="269"/>
      <c r="E103" s="757"/>
      <c r="F103" s="544"/>
      <c r="G103" s="757"/>
      <c r="H103" s="269">
        <v>33.659999999999997</v>
      </c>
      <c r="I103" s="757">
        <v>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1390</v>
      </c>
      <c r="D104" s="269"/>
      <c r="E104" s="757"/>
      <c r="F104" s="544"/>
      <c r="G104" s="757"/>
      <c r="H104" s="269">
        <v>44.34</v>
      </c>
      <c r="I104" s="757">
        <v>40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1390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1390</v>
      </c>
      <c r="D106" s="269"/>
      <c r="E106" s="757"/>
      <c r="F106" s="544"/>
      <c r="G106" s="757"/>
      <c r="H106" s="269">
        <v>177.97</v>
      </c>
      <c r="I106" s="757">
        <v>256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1390</v>
      </c>
      <c r="D107" s="269"/>
      <c r="E107" s="757"/>
      <c r="F107" s="544"/>
      <c r="G107" s="757"/>
      <c r="H107" s="269">
        <v>36.33</v>
      </c>
      <c r="I107" s="757">
        <v>25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1390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1390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1390</v>
      </c>
      <c r="D110" s="269"/>
      <c r="E110" s="757"/>
      <c r="F110" s="544"/>
      <c r="G110" s="757"/>
      <c r="H110" s="269">
        <v>36.863</v>
      </c>
      <c r="I110" s="757">
        <v>26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1390</v>
      </c>
      <c r="D111" s="269"/>
      <c r="E111" s="757"/>
      <c r="F111" s="544"/>
      <c r="G111" s="757"/>
      <c r="H111" s="269">
        <v>39.53</v>
      </c>
      <c r="I111" s="757">
        <v>31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1390</v>
      </c>
      <c r="D112" s="269"/>
      <c r="E112" s="757"/>
      <c r="F112" s="544"/>
      <c r="G112" s="757"/>
      <c r="H112" s="269">
        <v>38.47</v>
      </c>
      <c r="I112" s="757">
        <v>29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1390</v>
      </c>
      <c r="D113" s="269"/>
      <c r="E113" s="757"/>
      <c r="F113" s="544"/>
      <c r="G113" s="757"/>
      <c r="H113" s="269">
        <v>33.659999999999997</v>
      </c>
      <c r="I113" s="757">
        <v>6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1390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1390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1390</v>
      </c>
      <c r="D116" s="269"/>
      <c r="E116" s="757"/>
      <c r="F116" s="544"/>
      <c r="G116" s="757"/>
      <c r="H116" s="269">
        <v>33.659999999999997</v>
      </c>
      <c r="I116" s="757">
        <v>5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1390</v>
      </c>
      <c r="D117" s="269"/>
      <c r="E117" s="757"/>
      <c r="F117" s="544"/>
      <c r="G117" s="757"/>
      <c r="H117" s="269">
        <v>171.78</v>
      </c>
      <c r="I117" s="757">
        <v>247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1390</v>
      </c>
      <c r="D118" s="269"/>
      <c r="E118" s="757"/>
      <c r="F118" s="544"/>
      <c r="G118" s="757"/>
      <c r="H118" s="269">
        <v>49.15</v>
      </c>
      <c r="I118" s="757">
        <v>49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1390</v>
      </c>
      <c r="D119" s="269"/>
      <c r="E119" s="757"/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1390</v>
      </c>
      <c r="D120" s="269"/>
      <c r="E120" s="757"/>
      <c r="F120" s="544"/>
      <c r="G120" s="757"/>
      <c r="H120" s="269">
        <v>42.74</v>
      </c>
      <c r="I120" s="757">
        <v>37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1390</v>
      </c>
      <c r="D121" s="269"/>
      <c r="E121" s="757"/>
      <c r="F121" s="544"/>
      <c r="G121" s="757"/>
      <c r="H121" s="269">
        <v>33.659999999999997</v>
      </c>
      <c r="I121" s="757">
        <v>64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1390</v>
      </c>
      <c r="D122" s="269"/>
      <c r="E122" s="757"/>
      <c r="F122" s="544"/>
      <c r="G122" s="757"/>
      <c r="H122" s="269">
        <v>33.659999999999997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1390</v>
      </c>
      <c r="D123" s="269"/>
      <c r="E123" s="757"/>
      <c r="F123" s="544"/>
      <c r="G123" s="757"/>
      <c r="H123" s="269">
        <v>33.659999999999997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1390</v>
      </c>
      <c r="D124" s="269"/>
      <c r="E124" s="757"/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1390</v>
      </c>
      <c r="D125" s="269"/>
      <c r="E125" s="757"/>
      <c r="F125" s="544"/>
      <c r="G125" s="757"/>
      <c r="H125" s="269">
        <v>50.49</v>
      </c>
      <c r="I125" s="757">
        <v>12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1390</v>
      </c>
      <c r="D126" s="269"/>
      <c r="E126" s="757"/>
      <c r="F126" s="544"/>
      <c r="G126" s="757"/>
      <c r="H126" s="269">
        <v>45.41</v>
      </c>
      <c r="I126" s="757">
        <v>42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1390</v>
      </c>
      <c r="D127" s="269"/>
      <c r="E127" s="757"/>
      <c r="F127" s="544"/>
      <c r="G127" s="757"/>
      <c r="H127" s="269">
        <v>33.659999999999997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1390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1378</v>
      </c>
      <c r="D129" s="269"/>
      <c r="E129" s="757"/>
      <c r="F129" s="544"/>
      <c r="G129" s="757"/>
      <c r="H129" s="269">
        <v>44.34</v>
      </c>
      <c r="I129" s="757">
        <v>40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1390</v>
      </c>
      <c r="D130" s="269"/>
      <c r="E130" s="757"/>
      <c r="F130" s="544"/>
      <c r="G130" s="757"/>
      <c r="H130" s="269">
        <v>194.02</v>
      </c>
      <c r="I130" s="757">
        <v>340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1378</v>
      </c>
      <c r="D131" s="269"/>
      <c r="E131" s="757"/>
      <c r="F131" s="544"/>
      <c r="G131" s="757"/>
      <c r="H131" s="269">
        <v>478.68</v>
      </c>
      <c r="I131" s="757">
        <v>660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1378</v>
      </c>
      <c r="D132" s="269"/>
      <c r="E132" s="757"/>
      <c r="F132" s="544"/>
      <c r="G132" s="757"/>
      <c r="H132" s="269">
        <v>33.659999999999997</v>
      </c>
      <c r="I132" s="757">
        <v>11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1378</v>
      </c>
      <c r="D133" s="269"/>
      <c r="E133" s="757"/>
      <c r="F133" s="544"/>
      <c r="G133" s="757"/>
      <c r="H133" s="269">
        <v>1959.72</v>
      </c>
      <c r="I133" s="757">
        <v>2596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1378</v>
      </c>
      <c r="D134" s="269"/>
      <c r="E134" s="757"/>
      <c r="F134" s="544"/>
      <c r="G134" s="757"/>
      <c r="H134" s="269">
        <v>33.659999999999997</v>
      </c>
      <c r="I134" s="757">
        <v>3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1378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1378</v>
      </c>
      <c r="D136" s="269"/>
      <c r="E136" s="757"/>
      <c r="F136" s="544"/>
      <c r="G136" s="757"/>
      <c r="H136" s="269">
        <v>55.02</v>
      </c>
      <c r="I136" s="757">
        <v>60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1378</v>
      </c>
      <c r="D137" s="269"/>
      <c r="E137" s="757"/>
      <c r="F137" s="544"/>
      <c r="G137" s="757"/>
      <c r="H137" s="269">
        <v>186.46</v>
      </c>
      <c r="I137" s="757">
        <v>268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1378</v>
      </c>
      <c r="D138" s="269"/>
      <c r="E138" s="757"/>
      <c r="F138" s="544"/>
      <c r="G138" s="757"/>
      <c r="H138" s="269">
        <v>172.43</v>
      </c>
      <c r="I138" s="757">
        <v>248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1378</v>
      </c>
      <c r="D139" s="269"/>
      <c r="E139" s="757"/>
      <c r="F139" s="544"/>
      <c r="G139" s="757"/>
      <c r="H139" s="269">
        <v>246.55</v>
      </c>
      <c r="I139" s="757">
        <v>353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1394</v>
      </c>
      <c r="D141" s="269"/>
      <c r="E141" s="757"/>
      <c r="F141" s="544"/>
      <c r="G141" s="757"/>
      <c r="H141" s="269">
        <v>50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1394</v>
      </c>
      <c r="D142" s="269"/>
      <c r="E142" s="757"/>
      <c r="F142" s="544"/>
      <c r="G142" s="757"/>
      <c r="H142" s="269">
        <v>60</v>
      </c>
      <c r="I142" s="757">
        <v>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43620</v>
      </c>
      <c r="D144" s="269"/>
      <c r="E144" s="757"/>
      <c r="F144" s="544"/>
      <c r="G144" s="757"/>
      <c r="H144" s="269">
        <v>35.18</v>
      </c>
      <c r="I144" s="757">
        <v>10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1389</v>
      </c>
      <c r="D146" s="269"/>
      <c r="E146" s="757"/>
      <c r="F146" s="544"/>
      <c r="G146" s="757"/>
      <c r="H146" s="269">
        <v>20</v>
      </c>
      <c r="I146" s="757">
        <v>600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1380</v>
      </c>
      <c r="D148" s="269"/>
      <c r="E148" s="757"/>
      <c r="F148" s="544"/>
      <c r="G148" s="757"/>
      <c r="H148" s="269">
        <v>189.01</v>
      </c>
      <c r="I148" s="757">
        <v>600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19" sqref="I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1402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27"/>
      <c r="B4" s="828"/>
      <c r="C4" s="828"/>
      <c r="D4" s="828"/>
      <c r="E4" s="828"/>
      <c r="F4" s="828"/>
      <c r="G4" s="8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213172</v>
      </c>
      <c r="D13" s="34"/>
      <c r="E13" s="35" t="s">
        <v>33</v>
      </c>
      <c r="F13" s="34"/>
      <c r="G13" s="42">
        <v>21497.439999999999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2272</v>
      </c>
      <c r="D15" s="34"/>
      <c r="E15" s="35" t="s">
        <v>10</v>
      </c>
      <c r="F15" s="34"/>
      <c r="G15" s="42">
        <v>1595.26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9575</v>
      </c>
      <c r="D17" s="34"/>
      <c r="E17" s="35" t="s">
        <v>278</v>
      </c>
      <c r="F17" s="34"/>
      <c r="G17" s="42">
        <v>6245.26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2174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57"/>
      <c r="B4" s="1058"/>
      <c r="C4" s="1058"/>
      <c r="D4" s="1058"/>
      <c r="E4" s="1058"/>
      <c r="F4" s="1058"/>
      <c r="G4" s="105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229777</v>
      </c>
      <c r="D13" s="34"/>
      <c r="E13" s="35" t="s">
        <v>33</v>
      </c>
      <c r="F13" s="34"/>
      <c r="G13" s="42">
        <v>22856.01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1526</v>
      </c>
      <c r="D15" s="34"/>
      <c r="E15" s="35" t="s">
        <v>10</v>
      </c>
      <c r="F15" s="34"/>
      <c r="G15" s="42">
        <v>1985.71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13798</v>
      </c>
      <c r="D17" s="34"/>
      <c r="E17" s="35" t="s">
        <v>278</v>
      </c>
      <c r="F17" s="34"/>
      <c r="G17" s="42">
        <v>7647.93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35" activePane="bottomLeft" state="frozen"/>
      <selection pane="bottomLeft" activeCell="E167" sqref="E16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1366</v>
      </c>
      <c r="D3" s="328"/>
      <c r="E3" s="763"/>
      <c r="F3" s="620">
        <v>639.53</v>
      </c>
      <c r="G3" s="763">
        <v>1510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1364</v>
      </c>
      <c r="D4" s="269"/>
      <c r="E4" s="757"/>
      <c r="F4" s="544">
        <v>80.7</v>
      </c>
      <c r="G4" s="757">
        <v>87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1363</v>
      </c>
      <c r="D5" s="328"/>
      <c r="E5" s="763"/>
      <c r="F5" s="620">
        <v>88.25</v>
      </c>
      <c r="G5" s="763">
        <v>105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1368</v>
      </c>
      <c r="D6" s="269"/>
      <c r="E6" s="757"/>
      <c r="F6" s="544">
        <v>81.86</v>
      </c>
      <c r="G6" s="757">
        <v>90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1366</v>
      </c>
      <c r="D7" s="269"/>
      <c r="E7" s="757"/>
      <c r="F7" s="544">
        <v>51.72</v>
      </c>
      <c r="G7" s="757">
        <v>26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1366</v>
      </c>
      <c r="D8" s="269"/>
      <c r="E8" s="757"/>
      <c r="F8" s="544">
        <v>44.07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1367</v>
      </c>
      <c r="D10" s="269"/>
      <c r="E10" s="757"/>
      <c r="F10" s="544">
        <v>87.58</v>
      </c>
      <c r="G10" s="757">
        <v>107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1366</v>
      </c>
      <c r="D11" s="269"/>
      <c r="E11" s="757"/>
      <c r="F11" s="544">
        <v>41.77</v>
      </c>
      <c r="G11" s="757">
        <v>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1365</v>
      </c>
      <c r="D12" s="269"/>
      <c r="E12" s="757"/>
      <c r="F12" s="544">
        <v>44.13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1364</v>
      </c>
      <c r="D13" s="269"/>
      <c r="E13" s="757"/>
      <c r="F13" s="544">
        <v>116.12</v>
      </c>
      <c r="G13" s="757">
        <v>179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1368</v>
      </c>
      <c r="D14" s="269"/>
      <c r="E14" s="757"/>
      <c r="F14" s="544">
        <v>147.87</v>
      </c>
      <c r="G14" s="757">
        <v>19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1367</v>
      </c>
      <c r="D15" s="269"/>
      <c r="E15" s="757"/>
      <c r="F15" s="544">
        <v>91.73</v>
      </c>
      <c r="G15" s="757">
        <v>115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1373</v>
      </c>
      <c r="D16" s="269"/>
      <c r="E16" s="757"/>
      <c r="F16" s="544">
        <v>32.229999999999997</v>
      </c>
      <c r="G16" s="757">
        <v>24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1373</v>
      </c>
      <c r="D17" s="269"/>
      <c r="E17" s="757"/>
      <c r="F17" s="544">
        <v>47.7</v>
      </c>
      <c r="G17" s="757">
        <v>4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1361</v>
      </c>
      <c r="D19" s="618">
        <v>27.27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1361</v>
      </c>
      <c r="D20" s="618">
        <v>193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1361</v>
      </c>
      <c r="D21" s="618">
        <v>795.64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1375</v>
      </c>
      <c r="D22" s="618">
        <v>16.57</v>
      </c>
      <c r="E22" s="754">
        <v>49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1361</v>
      </c>
      <c r="D23" s="618">
        <v>15.64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1374</v>
      </c>
      <c r="D24" s="618">
        <v>92.59</v>
      </c>
      <c r="E24" s="754">
        <v>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1374</v>
      </c>
      <c r="D25" s="618">
        <v>5149.1099999999997</v>
      </c>
      <c r="E25" s="754">
        <v>83100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1361</v>
      </c>
      <c r="D26" s="618">
        <v>265.44</v>
      </c>
      <c r="E26" s="754">
        <v>2193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1374</v>
      </c>
      <c r="D27" s="618">
        <v>384.49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1377</v>
      </c>
      <c r="D28" s="618">
        <v>282.54000000000002</v>
      </c>
      <c r="E28" s="754">
        <v>1120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1361</v>
      </c>
      <c r="D29" s="618">
        <v>579.29999999999995</v>
      </c>
      <c r="E29" s="754">
        <v>540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1377</v>
      </c>
      <c r="D30" s="618">
        <v>649.85</v>
      </c>
      <c r="E30" s="754">
        <v>8580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1361</v>
      </c>
      <c r="D31" s="618">
        <v>1032.33</v>
      </c>
      <c r="E31" s="754">
        <v>12120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1" customHeight="1" x14ac:dyDescent="0.25">
      <c r="A32" s="686" t="s">
        <v>1355</v>
      </c>
      <c r="B32" s="686">
        <v>5216006455</v>
      </c>
      <c r="C32" s="546" t="s">
        <v>1373</v>
      </c>
      <c r="D32" s="618">
        <v>21.43</v>
      </c>
      <c r="E32" s="754">
        <v>150</v>
      </c>
      <c r="F32" s="548"/>
      <c r="G32" s="754"/>
      <c r="H32" s="618"/>
      <c r="I32" s="754"/>
      <c r="J32" s="546"/>
      <c r="K32" s="546"/>
      <c r="L32" s="546"/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1361</v>
      </c>
      <c r="D33" s="618">
        <v>18.28</v>
      </c>
      <c r="E33" s="754">
        <v>80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1343</v>
      </c>
      <c r="D34" s="618">
        <v>13.12</v>
      </c>
      <c r="E34" s="754">
        <v>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1378</v>
      </c>
      <c r="D35" s="618">
        <v>256.19</v>
      </c>
      <c r="E35" s="754">
        <v>2152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1378</v>
      </c>
      <c r="D36" s="618">
        <v>28.63</v>
      </c>
      <c r="E36" s="754">
        <v>219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1374</v>
      </c>
      <c r="D37" s="618">
        <v>296.81</v>
      </c>
      <c r="E37" s="754">
        <v>2975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1377</v>
      </c>
      <c r="D38" s="618">
        <v>68.06</v>
      </c>
      <c r="E38" s="754">
        <v>4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1378</v>
      </c>
      <c r="D39" s="618">
        <v>22.6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1373</v>
      </c>
      <c r="D40" s="618">
        <v>45.5</v>
      </c>
      <c r="E40" s="754">
        <v>470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1375</v>
      </c>
      <c r="D41" s="618">
        <v>16.91</v>
      </c>
      <c r="E41" s="754">
        <v>54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1361</v>
      </c>
      <c r="D42" s="618">
        <v>15.64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1361</v>
      </c>
      <c r="D43" s="618">
        <v>18.77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1374</v>
      </c>
      <c r="D44" s="618">
        <v>26.24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1378</v>
      </c>
      <c r="D45" s="618">
        <v>231.22</v>
      </c>
      <c r="E45" s="754">
        <v>1674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1361</v>
      </c>
      <c r="D46" s="618">
        <v>331.33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1361</v>
      </c>
      <c r="D47" s="618">
        <v>245.67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1361</v>
      </c>
      <c r="D48" s="618">
        <v>1001.15</v>
      </c>
      <c r="E48" s="754">
        <v>10740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1378</v>
      </c>
      <c r="D49" s="618">
        <v>22.6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1377</v>
      </c>
      <c r="D50" s="618">
        <v>27.04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1373</v>
      </c>
      <c r="D51" s="618">
        <v>68.53</v>
      </c>
      <c r="E51" s="754">
        <v>705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1378</v>
      </c>
      <c r="D52" s="618">
        <v>89.16</v>
      </c>
      <c r="E52" s="754">
        <v>1074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1361</v>
      </c>
      <c r="D53" s="618">
        <v>22.13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1377</v>
      </c>
      <c r="D54" s="618">
        <v>49.25</v>
      </c>
      <c r="E54" s="754">
        <v>45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1376</v>
      </c>
      <c r="D55" s="618">
        <v>38.81</v>
      </c>
      <c r="E55" s="754">
        <v>362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1375</v>
      </c>
      <c r="D56" s="618">
        <v>106.43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1378</v>
      </c>
      <c r="D57" s="618">
        <v>652.95000000000005</v>
      </c>
      <c r="E57" s="754">
        <v>7800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1377</v>
      </c>
      <c r="D58" s="618">
        <v>211.11</v>
      </c>
      <c r="E58" s="754">
        <v>1887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1373</v>
      </c>
      <c r="D59" s="618">
        <v>21.23</v>
      </c>
      <c r="E59" s="754">
        <v>118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1378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1361</v>
      </c>
      <c r="D61" s="618">
        <v>354.7</v>
      </c>
      <c r="E61" s="754">
        <v>2845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1361</v>
      </c>
      <c r="D62" s="618">
        <v>25.01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1375</v>
      </c>
      <c r="D63" s="618">
        <v>16.350000000000001</v>
      </c>
      <c r="E63" s="754">
        <v>46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1361</v>
      </c>
      <c r="D64" s="618">
        <v>1040.72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1374</v>
      </c>
      <c r="D65" s="618">
        <v>81.91</v>
      </c>
      <c r="E65" s="754">
        <v>997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1374</v>
      </c>
      <c r="D66" s="618">
        <v>102.74</v>
      </c>
      <c r="E66" s="754">
        <v>1299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1369</v>
      </c>
      <c r="D68" s="269">
        <v>181</v>
      </c>
      <c r="E68" s="757">
        <v>1646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1369</v>
      </c>
      <c r="D69" s="269">
        <v>146</v>
      </c>
      <c r="E69" s="757">
        <v>1053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1369</v>
      </c>
      <c r="D70" s="269">
        <v>93</v>
      </c>
      <c r="E70" s="757">
        <v>465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1369</v>
      </c>
      <c r="D71" s="269">
        <v>38</v>
      </c>
      <c r="E71" s="757">
        <v>82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1369</v>
      </c>
      <c r="D72" s="269">
        <v>37</v>
      </c>
      <c r="E72" s="757">
        <v>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1369</v>
      </c>
      <c r="D73" s="269">
        <v>252</v>
      </c>
      <c r="E73" s="757">
        <v>2208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1369</v>
      </c>
      <c r="D74" s="269">
        <v>70</v>
      </c>
      <c r="E74" s="757">
        <v>245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1369</v>
      </c>
      <c r="D75" s="269">
        <v>53</v>
      </c>
      <c r="E75" s="757">
        <v>245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1369</v>
      </c>
      <c r="D76" s="269">
        <v>74</v>
      </c>
      <c r="E76" s="757">
        <v>257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1369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1369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1369</v>
      </c>
      <c r="D79" s="269">
        <v>70.78</v>
      </c>
      <c r="E79" s="757">
        <v>228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1369</v>
      </c>
      <c r="D80" s="328">
        <v>72.55</v>
      </c>
      <c r="E80" s="763">
        <v>284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1369</v>
      </c>
      <c r="D81" s="269">
        <v>1710</v>
      </c>
      <c r="E81" s="757">
        <v>14520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/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1369</v>
      </c>
      <c r="D83" s="269">
        <v>83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1369</v>
      </c>
      <c r="D84" s="269">
        <v>31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1369</v>
      </c>
      <c r="D85" s="269">
        <v>40</v>
      </c>
      <c r="E85" s="757">
        <v>19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1369</v>
      </c>
      <c r="D86" s="269">
        <v>441</v>
      </c>
      <c r="E86" s="757">
        <v>3300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1369</v>
      </c>
      <c r="D87" s="269">
        <v>271</v>
      </c>
      <c r="E87" s="757">
        <v>2040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1369</v>
      </c>
      <c r="D88" s="674">
        <v>271</v>
      </c>
      <c r="E88" s="771" t="s">
        <v>1370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1369</v>
      </c>
      <c r="D89" s="269">
        <v>124</v>
      </c>
      <c r="E89" s="757">
        <v>336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1369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1369</v>
      </c>
      <c r="D91" s="269">
        <v>110</v>
      </c>
      <c r="E91" s="757">
        <v>667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1369</v>
      </c>
      <c r="D92" s="269">
        <v>94</v>
      </c>
      <c r="E92" s="757">
        <v>699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1369</v>
      </c>
      <c r="D93" s="269">
        <v>1658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1369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1369</v>
      </c>
      <c r="D95" s="269">
        <v>330</v>
      </c>
      <c r="E95" s="757">
        <v>960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/>
      <c r="D97" s="269"/>
      <c r="E97" s="757"/>
      <c r="F97" s="544"/>
      <c r="G97" s="757"/>
      <c r="H97" s="269">
        <v>218.27</v>
      </c>
      <c r="I97" s="757">
        <v>313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1369</v>
      </c>
      <c r="D98" s="269"/>
      <c r="E98" s="757"/>
      <c r="F98" s="544"/>
      <c r="G98" s="757"/>
      <c r="H98" s="269">
        <v>158.80000000000001</v>
      </c>
      <c r="I98" s="757">
        <v>227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1369</v>
      </c>
      <c r="D99" s="269"/>
      <c r="E99" s="757"/>
      <c r="F99" s="544"/>
      <c r="G99" s="757"/>
      <c r="H99" s="269">
        <v>679.11</v>
      </c>
      <c r="I99" s="757">
        <v>922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1369</v>
      </c>
      <c r="D100" s="269"/>
      <c r="E100" s="757"/>
      <c r="F100" s="544"/>
      <c r="G100" s="757"/>
      <c r="H100" s="269">
        <v>41.14</v>
      </c>
      <c r="I100" s="757">
        <v>34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1369</v>
      </c>
      <c r="D101" s="269"/>
      <c r="E101" s="757"/>
      <c r="F101" s="544"/>
      <c r="G101" s="757"/>
      <c r="H101" s="269">
        <v>36.33</v>
      </c>
      <c r="I101" s="757">
        <v>25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1369</v>
      </c>
      <c r="D102" s="269"/>
      <c r="E102" s="757"/>
      <c r="F102" s="544"/>
      <c r="G102" s="757"/>
      <c r="H102" s="269">
        <v>33.659999999999997</v>
      </c>
      <c r="I102" s="757">
        <v>4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/>
      <c r="D103" s="269"/>
      <c r="E103" s="757"/>
      <c r="F103" s="544"/>
      <c r="G103" s="757"/>
      <c r="H103" s="269"/>
      <c r="I103" s="757"/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1369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1369</v>
      </c>
      <c r="D105" s="269"/>
      <c r="E105" s="757"/>
      <c r="F105" s="544"/>
      <c r="G105" s="757"/>
      <c r="H105" s="269">
        <v>247.26</v>
      </c>
      <c r="I105" s="757">
        <v>354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1369</v>
      </c>
      <c r="D106" s="269"/>
      <c r="E106" s="757"/>
      <c r="F106" s="544"/>
      <c r="G106" s="757"/>
      <c r="H106" s="269">
        <v>33.659999999999997</v>
      </c>
      <c r="I106" s="757">
        <v>18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1369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1369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1369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1369</v>
      </c>
      <c r="D110" s="269"/>
      <c r="E110" s="757"/>
      <c r="F110" s="544"/>
      <c r="G110" s="757"/>
      <c r="H110" s="269">
        <v>99.1</v>
      </c>
      <c r="I110" s="757">
        <v>135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1369</v>
      </c>
      <c r="D111" s="269"/>
      <c r="E111" s="757"/>
      <c r="F111" s="544"/>
      <c r="G111" s="757"/>
      <c r="H111" s="269">
        <v>33.659999999999997</v>
      </c>
      <c r="I111" s="757">
        <v>5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1369</v>
      </c>
      <c r="D112" s="269"/>
      <c r="E112" s="757"/>
      <c r="F112" s="544"/>
      <c r="G112" s="757"/>
      <c r="H112" s="269">
        <v>33.659999999999997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1369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1369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1369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1369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1369</v>
      </c>
      <c r="D117" s="269"/>
      <c r="E117" s="757"/>
      <c r="F117" s="544"/>
      <c r="G117" s="757"/>
      <c r="H117" s="269">
        <v>177.27</v>
      </c>
      <c r="I117" s="757">
        <v>255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1369</v>
      </c>
      <c r="D118" s="269"/>
      <c r="E118" s="757"/>
      <c r="F118" s="544"/>
      <c r="G118" s="757"/>
      <c r="H118" s="269">
        <v>296.61</v>
      </c>
      <c r="I118" s="757">
        <v>422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1369</v>
      </c>
      <c r="D119" s="269"/>
      <c r="E119" s="757"/>
      <c r="F119" s="544"/>
      <c r="G119" s="757"/>
      <c r="H119" s="269">
        <v>36.33</v>
      </c>
      <c r="I119" s="757">
        <v>25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1369</v>
      </c>
      <c r="D120" s="269"/>
      <c r="E120" s="757"/>
      <c r="F120" s="544"/>
      <c r="G120" s="757"/>
      <c r="H120" s="269">
        <v>33.659999999999997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1369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1369</v>
      </c>
      <c r="D122" s="269"/>
      <c r="E122" s="757"/>
      <c r="F122" s="544"/>
      <c r="G122" s="757"/>
      <c r="H122" s="269">
        <v>33.659999999999997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1369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1369</v>
      </c>
      <c r="D124" s="269"/>
      <c r="E124" s="757"/>
      <c r="F124" s="544"/>
      <c r="G124" s="757"/>
      <c r="H124" s="269">
        <v>50.49</v>
      </c>
      <c r="I124" s="757">
        <v>7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1369</v>
      </c>
      <c r="D125" s="269"/>
      <c r="E125" s="757"/>
      <c r="F125" s="544"/>
      <c r="G125" s="757"/>
      <c r="H125" s="269">
        <v>42.74</v>
      </c>
      <c r="I125" s="757">
        <v>37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1369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1369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1362</v>
      </c>
      <c r="D128" s="269"/>
      <c r="E128" s="757"/>
      <c r="F128" s="544"/>
      <c r="G128" s="757"/>
      <c r="H128" s="269">
        <v>44.87</v>
      </c>
      <c r="I128" s="757">
        <v>41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1369</v>
      </c>
      <c r="D129" s="269"/>
      <c r="E129" s="757"/>
      <c r="F129" s="544"/>
      <c r="G129" s="757"/>
      <c r="H129" s="269">
        <v>61.96</v>
      </c>
      <c r="I129" s="757">
        <v>73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1362</v>
      </c>
      <c r="D130" s="269"/>
      <c r="E130" s="757"/>
      <c r="F130" s="544"/>
      <c r="G130" s="757"/>
      <c r="H130" s="269">
        <v>571.25</v>
      </c>
      <c r="I130" s="757">
        <v>781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1362</v>
      </c>
      <c r="D131" s="269"/>
      <c r="E131" s="757"/>
      <c r="F131" s="544"/>
      <c r="G131" s="757"/>
      <c r="H131" s="269">
        <v>33.659999999999997</v>
      </c>
      <c r="I131" s="757">
        <v>16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1362</v>
      </c>
      <c r="D132" s="269"/>
      <c r="E132" s="757"/>
      <c r="F132" s="544"/>
      <c r="G132" s="757"/>
      <c r="H132" s="269">
        <v>1733.28</v>
      </c>
      <c r="I132" s="757">
        <v>2300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1362</v>
      </c>
      <c r="D133" s="269"/>
      <c r="E133" s="757"/>
      <c r="F133" s="544"/>
      <c r="G133" s="757"/>
      <c r="H133" s="269">
        <v>124.41</v>
      </c>
      <c r="I133" s="757">
        <v>174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1362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1362</v>
      </c>
      <c r="D135" s="269"/>
      <c r="E135" s="757"/>
      <c r="F135" s="544"/>
      <c r="G135" s="757"/>
      <c r="H135" s="269">
        <v>39.53</v>
      </c>
      <c r="I135" s="757">
        <v>31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1362</v>
      </c>
      <c r="D136" s="269"/>
      <c r="E136" s="757"/>
      <c r="F136" s="544"/>
      <c r="G136" s="757"/>
      <c r="H136" s="269">
        <v>258.57</v>
      </c>
      <c r="I136" s="757">
        <v>370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1362</v>
      </c>
      <c r="D137" s="269"/>
      <c r="E137" s="757"/>
      <c r="F137" s="544"/>
      <c r="G137" s="757"/>
      <c r="H137" s="269">
        <v>238.77</v>
      </c>
      <c r="I137" s="757">
        <v>342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1362</v>
      </c>
      <c r="D138" s="269"/>
      <c r="E138" s="757"/>
      <c r="F138" s="544"/>
      <c r="G138" s="757"/>
      <c r="H138" s="269">
        <v>250.79</v>
      </c>
      <c r="I138" s="757">
        <v>359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1373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1369</v>
      </c>
      <c r="D141" s="269"/>
      <c r="E141" s="757"/>
      <c r="F141" s="544"/>
      <c r="G141" s="757"/>
      <c r="H141" s="269">
        <v>60</v>
      </c>
      <c r="I141" s="757">
        <v>1400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43595</v>
      </c>
      <c r="D143" s="269"/>
      <c r="E143" s="757"/>
      <c r="F143" s="544"/>
      <c r="G143" s="757"/>
      <c r="H143" s="269">
        <v>35.18</v>
      </c>
      <c r="I143" s="757">
        <v>280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1372</v>
      </c>
      <c r="D145" s="269"/>
      <c r="E145" s="757"/>
      <c r="F145" s="544"/>
      <c r="G145" s="757"/>
      <c r="H145" s="269">
        <v>20</v>
      </c>
      <c r="I145" s="757">
        <v>600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1371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23"/>
      <c r="B4" s="824"/>
      <c r="C4" s="824"/>
      <c r="D4" s="824"/>
      <c r="E4" s="824"/>
      <c r="F4" s="824"/>
      <c r="G4" s="82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218869.75</v>
      </c>
      <c r="D13" s="34"/>
      <c r="E13" s="35" t="s">
        <v>33</v>
      </c>
      <c r="F13" s="34"/>
      <c r="G13" s="42">
        <v>21538.68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4469</v>
      </c>
      <c r="D15" s="34"/>
      <c r="E15" s="35" t="s">
        <v>10</v>
      </c>
      <c r="F15" s="34"/>
      <c r="G15" s="42">
        <v>2669.68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563215.00780000002</v>
      </c>
      <c r="D17" s="34"/>
      <c r="E17" s="35" t="s">
        <v>278</v>
      </c>
      <c r="F17" s="34"/>
      <c r="G17" s="42">
        <v>3317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27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1350</v>
      </c>
      <c r="D4" s="269"/>
      <c r="E4" s="757"/>
      <c r="F4" s="544">
        <v>299.49</v>
      </c>
      <c r="G4" s="757">
        <v>524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1345</v>
      </c>
      <c r="D5" s="328"/>
      <c r="E5" s="763"/>
      <c r="F5" s="620">
        <v>309.92</v>
      </c>
      <c r="G5" s="763">
        <v>549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1349</v>
      </c>
      <c r="D6" s="269"/>
      <c r="E6" s="757"/>
      <c r="F6" s="544">
        <v>189.13</v>
      </c>
      <c r="G6" s="757">
        <v>297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1348</v>
      </c>
      <c r="D7" s="269"/>
      <c r="E7" s="757"/>
      <c r="F7" s="544">
        <v>134.77000000000001</v>
      </c>
      <c r="G7" s="757">
        <v>204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1348</v>
      </c>
      <c r="D8" s="269"/>
      <c r="E8" s="757"/>
      <c r="F8" s="544">
        <v>92.81</v>
      </c>
      <c r="G8" s="757">
        <v>113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1350</v>
      </c>
      <c r="D9" s="269"/>
      <c r="E9" s="757"/>
      <c r="F9" s="544">
        <v>407.43</v>
      </c>
      <c r="G9" s="757">
        <v>747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1350</v>
      </c>
      <c r="D10" s="269"/>
      <c r="E10" s="757"/>
      <c r="F10" s="544">
        <v>261.38</v>
      </c>
      <c r="G10" s="757">
        <v>445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1348</v>
      </c>
      <c r="D11" s="269"/>
      <c r="E11" s="757"/>
      <c r="F11" s="544">
        <v>49.94</v>
      </c>
      <c r="G11" s="757">
        <v>20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1350</v>
      </c>
      <c r="D13" s="269"/>
      <c r="E13" s="757"/>
      <c r="F13" s="544">
        <v>352.19</v>
      </c>
      <c r="G13" s="757">
        <v>633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1352</v>
      </c>
      <c r="D14" s="269"/>
      <c r="E14" s="757"/>
      <c r="F14" s="544">
        <v>93.33</v>
      </c>
      <c r="G14" s="757">
        <v>98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1350</v>
      </c>
      <c r="D15" s="269"/>
      <c r="E15" s="757"/>
      <c r="F15" s="544">
        <v>377.23</v>
      </c>
      <c r="G15" s="757">
        <v>685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1353</v>
      </c>
      <c r="D16" s="269"/>
      <c r="E16" s="757"/>
      <c r="F16" s="544">
        <v>56.91</v>
      </c>
      <c r="G16" s="757">
        <v>78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1353</v>
      </c>
      <c r="D17" s="269"/>
      <c r="E17" s="757"/>
      <c r="F17" s="544">
        <v>75.150000000000006</v>
      </c>
      <c r="G17" s="757">
        <v>76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1343</v>
      </c>
      <c r="D19" s="618">
        <v>27.16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1343</v>
      </c>
      <c r="D20" s="618">
        <v>192.14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1343</v>
      </c>
      <c r="D21" s="618">
        <v>789.46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1358</v>
      </c>
      <c r="D22" s="618">
        <v>60.95</v>
      </c>
      <c r="E22" s="754">
        <v>683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1343</v>
      </c>
      <c r="D23" s="618">
        <v>15.54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1357</v>
      </c>
      <c r="D24" s="618">
        <v>80.47</v>
      </c>
      <c r="E24" s="754">
        <v>1020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1357</v>
      </c>
      <c r="D25" s="618">
        <v>4461.55</v>
      </c>
      <c r="E25" s="754">
        <v>71200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1343</v>
      </c>
      <c r="D26" s="618">
        <v>236.78</v>
      </c>
      <c r="E26" s="754">
        <v>1895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1357</v>
      </c>
      <c r="D27" s="618">
        <v>383.62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1359</v>
      </c>
      <c r="D28" s="618">
        <v>257.45999999999998</v>
      </c>
      <c r="E28" s="754">
        <v>560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1343</v>
      </c>
      <c r="D29" s="618">
        <v>423.02</v>
      </c>
      <c r="E29" s="754">
        <v>4520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1359</v>
      </c>
      <c r="D30" s="618">
        <v>741.64</v>
      </c>
      <c r="E30" s="754">
        <v>10570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1343</v>
      </c>
      <c r="D31" s="618">
        <v>1032.28</v>
      </c>
      <c r="E31" s="754">
        <v>12300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1343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1343</v>
      </c>
      <c r="D33" s="618">
        <v>21.93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1356</v>
      </c>
      <c r="D34" s="618">
        <v>22.24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1343</v>
      </c>
      <c r="D35" s="618">
        <v>292.3</v>
      </c>
      <c r="E35" s="754">
        <v>2893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1344</v>
      </c>
      <c r="D36" s="618">
        <v>34.840000000000003</v>
      </c>
      <c r="E36" s="754">
        <v>314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1357</v>
      </c>
      <c r="D37" s="618">
        <v>301.17</v>
      </c>
      <c r="E37" s="754">
        <v>3050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1359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1344</v>
      </c>
      <c r="D39" s="618">
        <v>22.79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1356</v>
      </c>
      <c r="D40" s="618">
        <v>111.28</v>
      </c>
      <c r="E40" s="754">
        <v>1400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1358</v>
      </c>
      <c r="D41" s="618">
        <v>16.399999999999999</v>
      </c>
      <c r="E41" s="754">
        <v>47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1343</v>
      </c>
      <c r="D42" s="618">
        <v>15.54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1343</v>
      </c>
      <c r="D43" s="618">
        <v>18.66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1357</v>
      </c>
      <c r="D44" s="618">
        <v>13.12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1344</v>
      </c>
      <c r="D45" s="618">
        <v>295.58999999999997</v>
      </c>
      <c r="E45" s="754">
        <v>2337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1343</v>
      </c>
      <c r="D46" s="618">
        <v>328.69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1343</v>
      </c>
      <c r="D47" s="618">
        <v>244.35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1343</v>
      </c>
      <c r="D48" s="618">
        <v>1024.8</v>
      </c>
      <c r="E48" s="754">
        <v>10800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1344</v>
      </c>
      <c r="D49" s="618">
        <v>22.79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1359</v>
      </c>
      <c r="D50" s="618">
        <v>27.65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1356</v>
      </c>
      <c r="D51" s="618">
        <v>102.6</v>
      </c>
      <c r="E51" s="754">
        <v>1121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1344</v>
      </c>
      <c r="D52" s="618">
        <v>33.6</v>
      </c>
      <c r="E52" s="754">
        <v>296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1343</v>
      </c>
      <c r="D53" s="618">
        <v>21.93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1359</v>
      </c>
      <c r="D54" s="618">
        <v>49.17</v>
      </c>
      <c r="E54" s="754">
        <v>46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1360</v>
      </c>
      <c r="D55" s="618">
        <v>48.55</v>
      </c>
      <c r="E55" s="754">
        <v>510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1358</v>
      </c>
      <c r="D56" s="618">
        <v>109.98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1344</v>
      </c>
      <c r="D57" s="618">
        <v>662.08</v>
      </c>
      <c r="E57" s="754">
        <v>7200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1359</v>
      </c>
      <c r="D58" s="618">
        <v>182.81</v>
      </c>
      <c r="E58" s="754">
        <v>1571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1356</v>
      </c>
      <c r="D59" s="618">
        <v>28.27</v>
      </c>
      <c r="E59" s="754">
        <v>216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1344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1343</v>
      </c>
      <c r="D61" s="618">
        <v>350.95</v>
      </c>
      <c r="E61" s="754">
        <v>3395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1343</v>
      </c>
      <c r="D62" s="618">
        <v>24.83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1358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1343</v>
      </c>
      <c r="D64" s="618">
        <v>1028.52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1357</v>
      </c>
      <c r="D65" s="618">
        <v>121.67</v>
      </c>
      <c r="E65" s="754">
        <v>1548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1357</v>
      </c>
      <c r="D66" s="618">
        <v>84.09</v>
      </c>
      <c r="E66" s="754">
        <v>1012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1352</v>
      </c>
      <c r="D68" s="269">
        <v>198</v>
      </c>
      <c r="E68" s="757">
        <v>1839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1352</v>
      </c>
      <c r="D69" s="269">
        <v>146</v>
      </c>
      <c r="E69" s="757">
        <v>1051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1352</v>
      </c>
      <c r="D70" s="269">
        <v>99</v>
      </c>
      <c r="E70" s="757">
        <v>531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1352</v>
      </c>
      <c r="D71" s="269">
        <v>39</v>
      </c>
      <c r="E71" s="757">
        <v>91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1352</v>
      </c>
      <c r="D72" s="269">
        <v>37</v>
      </c>
      <c r="E72" s="757">
        <v>68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1352</v>
      </c>
      <c r="D73" s="269">
        <v>281</v>
      </c>
      <c r="E73" s="757">
        <v>2264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1352</v>
      </c>
      <c r="D74" s="269">
        <v>228</v>
      </c>
      <c r="E74" s="757">
        <v>2528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1352</v>
      </c>
      <c r="D75" s="269">
        <v>57</v>
      </c>
      <c r="E75" s="757">
        <v>287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1352</v>
      </c>
      <c r="D76" s="269">
        <v>98</v>
      </c>
      <c r="E76" s="757">
        <v>525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1352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1352</v>
      </c>
      <c r="D78" s="269">
        <v>43</v>
      </c>
      <c r="E78" s="757">
        <v>141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1352</v>
      </c>
      <c r="D79" s="269">
        <v>77.44</v>
      </c>
      <c r="E79" s="757">
        <v>301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1352</v>
      </c>
      <c r="D80" s="328">
        <v>57</v>
      </c>
      <c r="E80" s="763">
        <v>117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1352</v>
      </c>
      <c r="D81" s="269">
        <v>1657</v>
      </c>
      <c r="E81" s="757">
        <v>14520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1352</v>
      </c>
      <c r="D82" s="269">
        <v>12.55</v>
      </c>
      <c r="E82" s="757">
        <v>0.11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1352</v>
      </c>
      <c r="D83" s="269">
        <v>56</v>
      </c>
      <c r="E83" s="757">
        <v>0.68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1352</v>
      </c>
      <c r="D84" s="269">
        <v>30</v>
      </c>
      <c r="E84" s="757">
        <v>5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1352</v>
      </c>
      <c r="D85" s="269">
        <v>45</v>
      </c>
      <c r="E85" s="757">
        <v>70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1352</v>
      </c>
      <c r="D86" s="269">
        <v>633</v>
      </c>
      <c r="E86" s="757">
        <v>5400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1352</v>
      </c>
      <c r="D87" s="269">
        <v>556</v>
      </c>
      <c r="E87" s="757">
        <v>5160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1352</v>
      </c>
      <c r="D88" s="674">
        <v>271</v>
      </c>
      <c r="E88" s="771">
        <v>15.96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1352</v>
      </c>
      <c r="D89" s="269">
        <v>142</v>
      </c>
      <c r="E89" s="757">
        <v>537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1352</v>
      </c>
      <c r="D90" s="269">
        <v>50</v>
      </c>
      <c r="E90" s="757">
        <v>332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1352</v>
      </c>
      <c r="D91" s="269">
        <v>102</v>
      </c>
      <c r="E91" s="757">
        <v>584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1352</v>
      </c>
      <c r="D92" s="269">
        <v>107</v>
      </c>
      <c r="E92" s="757">
        <v>843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1352</v>
      </c>
      <c r="D93" s="269">
        <v>1633</v>
      </c>
      <c r="E93" s="757">
        <v>20040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1352</v>
      </c>
      <c r="D94" s="269">
        <v>67</v>
      </c>
      <c r="E94" s="757">
        <v>182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1352</v>
      </c>
      <c r="D95" s="269">
        <v>336</v>
      </c>
      <c r="E95" s="757">
        <v>1080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1352</v>
      </c>
      <c r="D97" s="269"/>
      <c r="E97" s="757"/>
      <c r="F97" s="544"/>
      <c r="G97" s="757"/>
      <c r="H97" s="269">
        <v>165.29</v>
      </c>
      <c r="I97" s="757">
        <v>237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1352</v>
      </c>
      <c r="D98" s="269"/>
      <c r="E98" s="757"/>
      <c r="F98" s="544"/>
      <c r="G98" s="757"/>
      <c r="H98" s="269">
        <v>136.09</v>
      </c>
      <c r="I98" s="757">
        <v>192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1352</v>
      </c>
      <c r="D99" s="269"/>
      <c r="E99" s="757"/>
      <c r="F99" s="544"/>
      <c r="G99" s="757"/>
      <c r="H99" s="269">
        <v>33.659999999999997</v>
      </c>
      <c r="I99" s="757">
        <v>8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1352</v>
      </c>
      <c r="D100" s="269"/>
      <c r="E100" s="757"/>
      <c r="F100" s="544"/>
      <c r="G100" s="757"/>
      <c r="H100" s="269">
        <v>39.53</v>
      </c>
      <c r="I100" s="757">
        <v>31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1352</v>
      </c>
      <c r="D101" s="269"/>
      <c r="E101" s="757"/>
      <c r="F101" s="544"/>
      <c r="G101" s="757"/>
      <c r="H101" s="269">
        <v>34.729999999999997</v>
      </c>
      <c r="I101" s="757">
        <v>22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1352</v>
      </c>
      <c r="D102" s="269"/>
      <c r="E102" s="757"/>
      <c r="F102" s="544"/>
      <c r="G102" s="757"/>
      <c r="H102" s="269">
        <v>36.33</v>
      </c>
      <c r="I102" s="757">
        <v>25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1352</v>
      </c>
      <c r="D103" s="269"/>
      <c r="E103" s="757"/>
      <c r="F103" s="544"/>
      <c r="G103" s="757"/>
      <c r="H103" s="269">
        <v>40.6</v>
      </c>
      <c r="I103" s="757">
        <v>33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1352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1352</v>
      </c>
      <c r="D105" s="269"/>
      <c r="E105" s="757"/>
      <c r="F105" s="544"/>
      <c r="G105" s="757"/>
      <c r="H105" s="269">
        <v>174.44</v>
      </c>
      <c r="I105" s="757">
        <v>251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1352</v>
      </c>
      <c r="D106" s="269"/>
      <c r="E106" s="757"/>
      <c r="F106" s="544"/>
      <c r="G106" s="757"/>
      <c r="H106" s="269">
        <v>33.659999999999997</v>
      </c>
      <c r="I106" s="757">
        <v>12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1352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1352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1352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1352</v>
      </c>
      <c r="D110" s="269"/>
      <c r="E110" s="757"/>
      <c r="F110" s="544"/>
      <c r="G110" s="757"/>
      <c r="H110" s="269">
        <v>33.659999999999997</v>
      </c>
      <c r="I110" s="757">
        <v>12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1352</v>
      </c>
      <c r="D111" s="269"/>
      <c r="E111" s="757"/>
      <c r="F111" s="544"/>
      <c r="G111" s="757"/>
      <c r="H111" s="269">
        <v>40.6</v>
      </c>
      <c r="I111" s="757">
        <v>33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1352</v>
      </c>
      <c r="D112" s="269"/>
      <c r="E112" s="757"/>
      <c r="F112" s="544"/>
      <c r="G112" s="757"/>
      <c r="H112" s="269">
        <v>33.659999999999997</v>
      </c>
      <c r="I112" s="757">
        <v>9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1352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1352</v>
      </c>
      <c r="D114" s="269"/>
      <c r="E114" s="757"/>
      <c r="F114" s="544"/>
      <c r="G114" s="757"/>
      <c r="H114" s="269">
        <v>33.659999999999997</v>
      </c>
      <c r="I114" s="757">
        <v>1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1352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1352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1352</v>
      </c>
      <c r="D117" s="269"/>
      <c r="E117" s="757"/>
      <c r="F117" s="544"/>
      <c r="G117" s="757"/>
      <c r="H117" s="269">
        <v>374.64</v>
      </c>
      <c r="I117" s="757">
        <v>524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1352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1352</v>
      </c>
      <c r="D119" s="269"/>
      <c r="E119" s="757"/>
      <c r="F119" s="544"/>
      <c r="G119" s="757"/>
      <c r="H119" s="269">
        <v>33.659999999999997</v>
      </c>
      <c r="I119" s="757">
        <v>16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1352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1352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1352</v>
      </c>
      <c r="D122" s="269"/>
      <c r="E122" s="757"/>
      <c r="F122" s="544"/>
      <c r="G122" s="757"/>
      <c r="H122" s="269">
        <v>33.659999999999997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1352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1352</v>
      </c>
      <c r="D124" s="269"/>
      <c r="E124" s="757"/>
      <c r="F124" s="544"/>
      <c r="G124" s="757"/>
      <c r="H124" s="269">
        <v>56.9</v>
      </c>
      <c r="I124" s="757">
        <v>28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1352</v>
      </c>
      <c r="D125" s="269"/>
      <c r="E125" s="757"/>
      <c r="F125" s="544"/>
      <c r="G125" s="757"/>
      <c r="H125" s="269">
        <v>42.2</v>
      </c>
      <c r="I125" s="757">
        <v>36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1352</v>
      </c>
      <c r="D126" s="269"/>
      <c r="E126" s="757"/>
      <c r="F126" s="544"/>
      <c r="G126" s="757"/>
      <c r="H126" s="269">
        <v>33.659999999999997</v>
      </c>
      <c r="I126" s="757">
        <v>16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1352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1352</v>
      </c>
      <c r="D129" s="269"/>
      <c r="E129" s="757"/>
      <c r="F129" s="544"/>
      <c r="G129" s="757"/>
      <c r="H129" s="269">
        <v>101.04</v>
      </c>
      <c r="I129" s="757">
        <v>138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1346</v>
      </c>
      <c r="D131" s="269"/>
      <c r="E131" s="757"/>
      <c r="F131" s="544"/>
      <c r="G131" s="757"/>
      <c r="H131" s="269">
        <v>33.659999999999997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/>
      <c r="D133" s="269"/>
      <c r="E133" s="757"/>
      <c r="F133" s="544"/>
      <c r="G133" s="757"/>
      <c r="H133" s="269"/>
      <c r="I133" s="757"/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1346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1346</v>
      </c>
      <c r="D135" s="269"/>
      <c r="E135" s="757"/>
      <c r="F135" s="544"/>
      <c r="G135" s="757"/>
      <c r="H135" s="269">
        <v>33.659999999999997</v>
      </c>
      <c r="I135" s="757">
        <v>10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/>
      <c r="D136" s="269"/>
      <c r="E136" s="757"/>
      <c r="F136" s="544"/>
      <c r="G136" s="757"/>
      <c r="H136" s="269"/>
      <c r="I136" s="757"/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>
        <v>847.78</v>
      </c>
      <c r="I140" s="757">
        <v>192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>
        <v>52.5</v>
      </c>
      <c r="I141" s="757">
        <v>138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>
        <v>50.15</v>
      </c>
      <c r="I143" s="757">
        <v>38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1351</v>
      </c>
      <c r="D145" s="269"/>
      <c r="E145" s="757"/>
      <c r="F145" s="544"/>
      <c r="G145" s="757"/>
      <c r="H145" s="269">
        <v>20</v>
      </c>
      <c r="I145" s="757">
        <v>800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>
        <v>150</v>
      </c>
      <c r="I147" s="757">
        <v>405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4" sqref="D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1354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20"/>
      <c r="B4" s="821"/>
      <c r="C4" s="821"/>
      <c r="D4" s="821"/>
      <c r="E4" s="821"/>
      <c r="F4" s="821"/>
      <c r="G4" s="82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199046.86</v>
      </c>
      <c r="D13" s="34"/>
      <c r="E13" s="35" t="s">
        <v>33</v>
      </c>
      <c r="F13" s="34"/>
      <c r="G13" s="42">
        <v>19780.150000000001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7237</v>
      </c>
      <c r="D15" s="34"/>
      <c r="E15" s="35" t="s">
        <v>10</v>
      </c>
      <c r="F15" s="34"/>
      <c r="G15" s="42">
        <v>4454.58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5678</v>
      </c>
      <c r="D17" s="34"/>
      <c r="E17" s="35" t="s">
        <v>278</v>
      </c>
      <c r="F17" s="34"/>
      <c r="G17" s="42">
        <v>4162.1400000000003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I146" sqref="I14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1326</v>
      </c>
      <c r="D3" s="328"/>
      <c r="E3" s="763"/>
      <c r="F3" s="620">
        <v>1192.8800000000001</v>
      </c>
      <c r="G3" s="763">
        <v>2122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1324</v>
      </c>
      <c r="D4" s="269"/>
      <c r="E4" s="757"/>
      <c r="F4" s="544">
        <v>404.78</v>
      </c>
      <c r="G4" s="757">
        <v>681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1327</v>
      </c>
      <c r="D5" s="328"/>
      <c r="E5" s="763"/>
      <c r="F5" s="620">
        <v>352.82</v>
      </c>
      <c r="G5" s="763">
        <v>585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1328</v>
      </c>
      <c r="D6" s="269"/>
      <c r="E6" s="757"/>
      <c r="F6" s="544">
        <v>156.03</v>
      </c>
      <c r="G6" s="757">
        <v>226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1348</v>
      </c>
      <c r="D7" s="269"/>
      <c r="E7" s="757"/>
      <c r="F7" s="544">
        <v>148.07</v>
      </c>
      <c r="G7" s="757">
        <v>202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1348</v>
      </c>
      <c r="D8" s="269"/>
      <c r="E8" s="757"/>
      <c r="F8" s="544">
        <v>95.46</v>
      </c>
      <c r="G8" s="757">
        <v>103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1338</v>
      </c>
      <c r="D9" s="269"/>
      <c r="E9" s="757"/>
      <c r="F9" s="544">
        <v>508.88</v>
      </c>
      <c r="G9" s="757">
        <v>868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1338</v>
      </c>
      <c r="D10" s="269"/>
      <c r="E10" s="757"/>
      <c r="F10" s="544">
        <v>281.66000000000003</v>
      </c>
      <c r="G10" s="757">
        <v>455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1324</v>
      </c>
      <c r="D11" s="269"/>
      <c r="E11" s="757"/>
      <c r="F11" s="544">
        <v>42.31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1324</v>
      </c>
      <c r="D12" s="269"/>
      <c r="E12" s="757"/>
      <c r="F12" s="544">
        <v>62.59</v>
      </c>
      <c r="G12" s="757">
        <v>57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1324</v>
      </c>
      <c r="D13" s="269"/>
      <c r="E13" s="757"/>
      <c r="F13" s="544">
        <v>484.84</v>
      </c>
      <c r="G13" s="757">
        <v>837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1324</v>
      </c>
      <c r="D14" s="269"/>
      <c r="E14" s="757"/>
      <c r="F14" s="544">
        <v>100.31</v>
      </c>
      <c r="G14" s="757">
        <v>125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1324</v>
      </c>
      <c r="D15" s="269"/>
      <c r="E15" s="757"/>
      <c r="F15" s="544">
        <v>487.58</v>
      </c>
      <c r="G15" s="757">
        <v>832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1329</v>
      </c>
      <c r="D16" s="269"/>
      <c r="E16" s="757"/>
      <c r="F16" s="544">
        <v>38.47</v>
      </c>
      <c r="G16" s="757">
        <v>39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1324</v>
      </c>
      <c r="D17" s="269"/>
      <c r="E17" s="757"/>
      <c r="F17" s="544">
        <v>97.9</v>
      </c>
      <c r="G17" s="757">
        <v>102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1325</v>
      </c>
      <c r="D19" s="618">
        <v>26.87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1325</v>
      </c>
      <c r="D20" s="618">
        <v>189.77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1325</v>
      </c>
      <c r="D21" s="618">
        <v>772.54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1339</v>
      </c>
      <c r="D22" s="618">
        <v>88.67</v>
      </c>
      <c r="E22" s="754">
        <v>1085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1325</v>
      </c>
      <c r="D23" s="618">
        <v>15.29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1336</v>
      </c>
      <c r="D24" s="618">
        <v>92.6</v>
      </c>
      <c r="E24" s="754">
        <v>1201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1329</v>
      </c>
      <c r="D25" s="618">
        <v>4246.1400000000003</v>
      </c>
      <c r="E25" s="754">
        <v>68200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828</v>
      </c>
      <c r="B26" s="686">
        <v>5216006443</v>
      </c>
      <c r="C26" s="546" t="s">
        <v>1325</v>
      </c>
      <c r="D26" s="618">
        <v>15.29</v>
      </c>
      <c r="E26" s="754">
        <v>70</v>
      </c>
      <c r="F26" s="548"/>
      <c r="G26" s="754"/>
      <c r="H26" s="618"/>
      <c r="I26" s="754"/>
      <c r="J26" s="546"/>
      <c r="K26" s="546" t="s">
        <v>780</v>
      </c>
      <c r="L26" s="546">
        <v>5216006443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1336</v>
      </c>
      <c r="D27" s="618">
        <v>47.71</v>
      </c>
      <c r="E27" s="754">
        <v>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1341</v>
      </c>
      <c r="D28" s="618">
        <v>263.62</v>
      </c>
      <c r="E28" s="754">
        <v>720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1325</v>
      </c>
      <c r="D29" s="618">
        <v>444.76</v>
      </c>
      <c r="E29" s="754">
        <v>5360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1341</v>
      </c>
      <c r="D30" s="618">
        <v>476</v>
      </c>
      <c r="E30" s="754">
        <v>5428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1342</v>
      </c>
      <c r="B31" s="686">
        <v>5216006452</v>
      </c>
      <c r="C31" s="546" t="s">
        <v>1325</v>
      </c>
      <c r="D31" s="618">
        <v>1025.32</v>
      </c>
      <c r="E31" s="754">
        <v>12960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1325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1325</v>
      </c>
      <c r="D33" s="618">
        <v>21.37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1126</v>
      </c>
      <c r="B34" s="686">
        <v>5216006455</v>
      </c>
      <c r="C34" s="546" t="s">
        <v>1329</v>
      </c>
      <c r="D34" s="618">
        <v>21.87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1323</v>
      </c>
      <c r="D35" s="618">
        <v>309.99</v>
      </c>
      <c r="E35" s="754">
        <v>3372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1323</v>
      </c>
      <c r="D36" s="618">
        <v>38.44</v>
      </c>
      <c r="E36" s="754">
        <v>384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1336</v>
      </c>
      <c r="D37" s="618">
        <v>320.19</v>
      </c>
      <c r="E37" s="754">
        <v>3476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1341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1323</v>
      </c>
      <c r="D39" s="618">
        <v>22.25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1329</v>
      </c>
      <c r="D40" s="618">
        <v>140.13</v>
      </c>
      <c r="E40" s="754">
        <v>1847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1339</v>
      </c>
      <c r="D41" s="618">
        <v>16.82</v>
      </c>
      <c r="E41" s="754">
        <v>53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1325</v>
      </c>
      <c r="D42" s="618">
        <v>15.29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1325</v>
      </c>
      <c r="D43" s="618">
        <v>18.37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1336</v>
      </c>
      <c r="D44" s="618">
        <v>13.12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1323</v>
      </c>
      <c r="D45" s="618">
        <v>291.33</v>
      </c>
      <c r="E45" s="754">
        <v>2604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1325</v>
      </c>
      <c r="D46" s="618">
        <v>321.45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1325</v>
      </c>
      <c r="D47" s="618">
        <v>240.71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1325</v>
      </c>
      <c r="D48" s="618">
        <v>1026.7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1323</v>
      </c>
      <c r="D49" s="618">
        <v>22.25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1341</v>
      </c>
      <c r="D50" s="618">
        <v>27.4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1329</v>
      </c>
      <c r="D51" s="618">
        <v>136.51</v>
      </c>
      <c r="E51" s="754">
        <v>1572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1323</v>
      </c>
      <c r="D52" s="618">
        <v>34.659999999999997</v>
      </c>
      <c r="E52" s="754">
        <v>327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1325</v>
      </c>
      <c r="D53" s="618">
        <v>21.37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1341</v>
      </c>
      <c r="D54" s="618">
        <v>49.5</v>
      </c>
      <c r="E54" s="754">
        <v>55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1340</v>
      </c>
      <c r="D55" s="618">
        <v>99.46</v>
      </c>
      <c r="E55" s="754">
        <v>1238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1339</v>
      </c>
      <c r="D56" s="618">
        <v>108.87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1323</v>
      </c>
      <c r="D57" s="618">
        <v>652.63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1341</v>
      </c>
      <c r="D58" s="618">
        <v>162.77000000000001</v>
      </c>
      <c r="E58" s="754">
        <v>1477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1329</v>
      </c>
      <c r="D59" s="618">
        <v>28.45</v>
      </c>
      <c r="E59" s="754">
        <v>223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1323</v>
      </c>
      <c r="D60" s="618">
        <v>13.18</v>
      </c>
      <c r="E60" s="754">
        <v>1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1325</v>
      </c>
      <c r="D61" s="618">
        <v>321.64999999999998</v>
      </c>
      <c r="E61" s="754">
        <v>3239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1325</v>
      </c>
      <c r="D62" s="618">
        <v>24.29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1339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1325</v>
      </c>
      <c r="D64" s="618">
        <v>995.12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1336</v>
      </c>
      <c r="D65" s="618">
        <v>134.13999999999999</v>
      </c>
      <c r="E65" s="754">
        <v>1753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1336</v>
      </c>
      <c r="D66" s="618">
        <v>86.59</v>
      </c>
      <c r="E66" s="754">
        <v>1064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1329</v>
      </c>
      <c r="D68" s="269">
        <v>188</v>
      </c>
      <c r="E68" s="757">
        <v>1742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1329</v>
      </c>
      <c r="D69" s="269">
        <v>154</v>
      </c>
      <c r="E69" s="757">
        <v>1142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1329</v>
      </c>
      <c r="D70" s="269">
        <v>99</v>
      </c>
      <c r="E70" s="757">
        <v>537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1329</v>
      </c>
      <c r="D71" s="269">
        <v>39</v>
      </c>
      <c r="E71" s="757">
        <v>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1329</v>
      </c>
      <c r="D72" s="269">
        <v>36</v>
      </c>
      <c r="E72" s="757">
        <v>66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1329</v>
      </c>
      <c r="D73" s="269">
        <v>271</v>
      </c>
      <c r="E73" s="757">
        <v>2429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1329</v>
      </c>
      <c r="D74" s="269">
        <v>254</v>
      </c>
      <c r="E74" s="757">
        <v>2555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1329</v>
      </c>
      <c r="D75" s="269">
        <v>63</v>
      </c>
      <c r="E75" s="757">
        <v>357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1329</v>
      </c>
      <c r="D76" s="269">
        <v>110</v>
      </c>
      <c r="E76" s="757">
        <v>660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1329</v>
      </c>
      <c r="D77" s="269">
        <v>31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1329</v>
      </c>
      <c r="D78" s="269">
        <v>84</v>
      </c>
      <c r="E78" s="757">
        <v>585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1329</v>
      </c>
      <c r="D79" s="269">
        <v>70.39</v>
      </c>
      <c r="E79" s="757">
        <v>225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1330</v>
      </c>
      <c r="B80" s="762" t="s">
        <v>201</v>
      </c>
      <c r="C80" s="327" t="s">
        <v>1329</v>
      </c>
      <c r="D80" s="328">
        <v>60</v>
      </c>
      <c r="E80" s="763">
        <v>150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1329</v>
      </c>
      <c r="D81" s="269">
        <v>1293</v>
      </c>
      <c r="E81" s="757">
        <v>14400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1329</v>
      </c>
      <c r="D82" s="269">
        <v>59</v>
      </c>
      <c r="E82" s="757">
        <v>225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1329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1329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1329</v>
      </c>
      <c r="D85" s="269">
        <v>40</v>
      </c>
      <c r="E85" s="757">
        <v>22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/>
      <c r="D86" s="269">
        <v>412</v>
      </c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/>
      <c r="D87" s="269">
        <v>401</v>
      </c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1329</v>
      </c>
      <c r="D88" s="674">
        <v>270</v>
      </c>
      <c r="E88" s="771">
        <v>16.86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1329</v>
      </c>
      <c r="D89" s="269">
        <v>127</v>
      </c>
      <c r="E89" s="757">
        <v>377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1329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1329</v>
      </c>
      <c r="D91" s="269">
        <v>196</v>
      </c>
      <c r="E91" s="757">
        <v>481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1329</v>
      </c>
      <c r="D92" s="269">
        <v>104</v>
      </c>
      <c r="E92" s="757">
        <v>806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1329</v>
      </c>
      <c r="D93" s="269">
        <v>1390</v>
      </c>
      <c r="E93" s="757">
        <v>14400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1329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1329</v>
      </c>
      <c r="D95" s="269">
        <v>330</v>
      </c>
      <c r="E95" s="757">
        <v>960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1329</v>
      </c>
      <c r="D97" s="269"/>
      <c r="E97" s="757"/>
      <c r="F97" s="544"/>
      <c r="G97" s="757"/>
      <c r="H97" s="269">
        <v>162.05000000000001</v>
      </c>
      <c r="I97" s="757">
        <v>232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1329</v>
      </c>
      <c r="D98" s="269"/>
      <c r="E98" s="757"/>
      <c r="F98" s="544"/>
      <c r="G98" s="757"/>
      <c r="H98" s="269">
        <v>154.63</v>
      </c>
      <c r="I98" s="757">
        <v>164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1329</v>
      </c>
      <c r="D99" s="269"/>
      <c r="E99" s="757"/>
      <c r="F99" s="544"/>
      <c r="G99" s="757"/>
      <c r="H99" s="269">
        <v>33.659999999999997</v>
      </c>
      <c r="I99" s="757">
        <v>11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1329</v>
      </c>
      <c r="D100" s="269"/>
      <c r="E100" s="757"/>
      <c r="F100" s="544"/>
      <c r="G100" s="757"/>
      <c r="H100" s="269">
        <v>36.86</v>
      </c>
      <c r="I100" s="757">
        <v>26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1329</v>
      </c>
      <c r="D101" s="269"/>
      <c r="E101" s="757"/>
      <c r="F101" s="544"/>
      <c r="G101" s="757"/>
      <c r="H101" s="269">
        <v>37.93</v>
      </c>
      <c r="I101" s="757">
        <v>28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1329</v>
      </c>
      <c r="D102" s="269"/>
      <c r="E102" s="757"/>
      <c r="F102" s="544"/>
      <c r="G102" s="757"/>
      <c r="H102" s="269">
        <v>33.659999999999997</v>
      </c>
      <c r="I102" s="757">
        <v>2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1329</v>
      </c>
      <c r="D103" s="269"/>
      <c r="E103" s="757"/>
      <c r="F103" s="544"/>
      <c r="G103" s="757"/>
      <c r="H103" s="269">
        <v>39</v>
      </c>
      <c r="I103" s="757">
        <v>30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1329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1329</v>
      </c>
      <c r="D105" s="269"/>
      <c r="E105" s="757"/>
      <c r="F105" s="544"/>
      <c r="G105" s="757"/>
      <c r="H105" s="269">
        <v>75.31</v>
      </c>
      <c r="I105" s="757">
        <v>98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1329</v>
      </c>
      <c r="D106" s="269"/>
      <c r="E106" s="757"/>
      <c r="F106" s="544"/>
      <c r="G106" s="757"/>
      <c r="H106" s="269">
        <v>33.659999999999997</v>
      </c>
      <c r="I106" s="757">
        <v>15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1329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1329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1329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1329</v>
      </c>
      <c r="D110" s="269"/>
      <c r="E110" s="757"/>
      <c r="F110" s="544"/>
      <c r="G110" s="757"/>
      <c r="H110" s="269">
        <v>33.659999999999997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1329</v>
      </c>
      <c r="D111" s="269"/>
      <c r="E111" s="757"/>
      <c r="F111" s="544"/>
      <c r="G111" s="757"/>
      <c r="H111" s="269">
        <v>85.477000000000004</v>
      </c>
      <c r="I111" s="757">
        <v>114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1329</v>
      </c>
      <c r="D112" s="269"/>
      <c r="E112" s="757"/>
      <c r="F112" s="544"/>
      <c r="G112" s="757"/>
      <c r="H112" s="269">
        <v>33.659999999999997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1329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1329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1329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1329</v>
      </c>
      <c r="D116" s="269"/>
      <c r="E116" s="757"/>
      <c r="F116" s="544"/>
      <c r="G116" s="757"/>
      <c r="H116" s="269">
        <v>33.659999999999997</v>
      </c>
      <c r="I116" s="757" t="s">
        <v>383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1329</v>
      </c>
      <c r="D117" s="269"/>
      <c r="E117" s="757"/>
      <c r="F117" s="544"/>
      <c r="G117" s="757"/>
      <c r="H117" s="269">
        <v>33.659999999999997</v>
      </c>
      <c r="I117" s="757">
        <v>6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1329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1329</v>
      </c>
      <c r="D119" s="269"/>
      <c r="E119" s="757"/>
      <c r="F119" s="544"/>
      <c r="G119" s="757"/>
      <c r="H119" s="269">
        <v>33.659999999999997</v>
      </c>
      <c r="I119" s="757">
        <v>9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1329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1329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1329</v>
      </c>
      <c r="D122" s="269"/>
      <c r="E122" s="757"/>
      <c r="F122" s="544"/>
      <c r="G122" s="757"/>
      <c r="H122" s="269">
        <v>51.48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1329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1329</v>
      </c>
      <c r="D124" s="269"/>
      <c r="E124" s="757"/>
      <c r="F124" s="544"/>
      <c r="G124" s="757"/>
      <c r="H124" s="269">
        <v>143.79</v>
      </c>
      <c r="I124" s="757">
        <v>130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>
        <v>107.36</v>
      </c>
      <c r="I125" s="757"/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1329</v>
      </c>
      <c r="D126" s="269"/>
      <c r="E126" s="757"/>
      <c r="F126" s="544"/>
      <c r="G126" s="757"/>
      <c r="H126" s="269">
        <v>51.48</v>
      </c>
      <c r="I126" s="757">
        <v>12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1329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1346</v>
      </c>
      <c r="D128" s="269"/>
      <c r="E128" s="757"/>
      <c r="F128" s="544"/>
      <c r="G128" s="757"/>
      <c r="H128" s="269">
        <v>40.6</v>
      </c>
      <c r="I128" s="757">
        <v>33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1329</v>
      </c>
      <c r="D129" s="269"/>
      <c r="E129" s="757"/>
      <c r="F129" s="544"/>
      <c r="G129" s="757"/>
      <c r="H129" s="269">
        <v>99.74</v>
      </c>
      <c r="I129" s="757">
        <v>136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1346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1346</v>
      </c>
      <c r="D131" s="269"/>
      <c r="E131" s="757"/>
      <c r="F131" s="544"/>
      <c r="G131" s="757"/>
      <c r="H131" s="269">
        <v>33.659999999999997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1346</v>
      </c>
      <c r="D132" s="269"/>
      <c r="E132" s="757"/>
      <c r="F132" s="544"/>
      <c r="G132" s="757"/>
      <c r="H132" s="269">
        <v>1298.76</v>
      </c>
      <c r="I132" s="757">
        <v>1732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1346</v>
      </c>
      <c r="D133" s="269"/>
      <c r="E133" s="757"/>
      <c r="F133" s="544"/>
      <c r="G133" s="757"/>
      <c r="H133" s="269">
        <v>33.659999999999997</v>
      </c>
      <c r="I133" s="757">
        <v>17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1346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1346</v>
      </c>
      <c r="D135" s="269"/>
      <c r="E135" s="757"/>
      <c r="F135" s="544"/>
      <c r="G135" s="757"/>
      <c r="H135" s="269">
        <v>33.659999999999997</v>
      </c>
      <c r="I135" s="757">
        <v>10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1346</v>
      </c>
      <c r="D136" s="269"/>
      <c r="E136" s="757"/>
      <c r="F136" s="544"/>
      <c r="G136" s="757"/>
      <c r="H136" s="269">
        <v>185.75</v>
      </c>
      <c r="I136" s="757">
        <v>267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1346</v>
      </c>
      <c r="D137" s="269"/>
      <c r="E137" s="757"/>
      <c r="F137" s="544"/>
      <c r="G137" s="757"/>
      <c r="H137" s="269">
        <v>128.94999999999999</v>
      </c>
      <c r="I137" s="757">
        <v>181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1323</v>
      </c>
      <c r="D138" s="269"/>
      <c r="E138" s="757"/>
      <c r="F138" s="544"/>
      <c r="G138" s="757"/>
      <c r="H138" s="269">
        <v>132.84</v>
      </c>
      <c r="I138" s="757">
        <v>187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1336</v>
      </c>
      <c r="D140" s="269"/>
      <c r="E140" s="757"/>
      <c r="F140" s="544"/>
      <c r="G140" s="757"/>
      <c r="H140" s="269">
        <v>102.5</v>
      </c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1336</v>
      </c>
      <c r="D141" s="269"/>
      <c r="E141" s="757"/>
      <c r="F141" s="544"/>
      <c r="G141" s="757"/>
      <c r="H141" s="269">
        <v>62.5</v>
      </c>
      <c r="I141" s="757">
        <v>400</v>
      </c>
      <c r="J141" s="245"/>
      <c r="K141" s="245"/>
      <c r="L141" s="245"/>
    </row>
    <row r="142" spans="1:36" s="184" customFormat="1" x14ac:dyDescent="0.25">
      <c r="A142" s="695"/>
      <c r="B142" s="775" t="s">
        <v>1337</v>
      </c>
      <c r="C142" s="245" t="s">
        <v>1336</v>
      </c>
      <c r="D142" s="269"/>
      <c r="E142" s="757"/>
      <c r="F142" s="544"/>
      <c r="G142" s="757"/>
      <c r="H142" s="269">
        <v>62.5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43533</v>
      </c>
      <c r="D144" s="269"/>
      <c r="E144" s="757"/>
      <c r="F144" s="544"/>
      <c r="G144" s="757"/>
      <c r="H144" s="269">
        <v>35.18</v>
      </c>
      <c r="I144" s="757">
        <v>20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1335</v>
      </c>
      <c r="D146" s="269"/>
      <c r="E146" s="757"/>
      <c r="F146" s="544"/>
      <c r="G146" s="757"/>
      <c r="H146" s="269">
        <v>20</v>
      </c>
      <c r="I146" s="757">
        <v>1400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1347</v>
      </c>
      <c r="D148" s="269"/>
      <c r="E148" s="757"/>
      <c r="F148" s="544"/>
      <c r="G148" s="757"/>
      <c r="H148" s="269">
        <v>205.95</v>
      </c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1" sqref="C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1334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17"/>
      <c r="B4" s="818"/>
      <c r="C4" s="818"/>
      <c r="D4" s="818"/>
      <c r="E4" s="818"/>
      <c r="F4" s="818"/>
      <c r="G4" s="81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817723</v>
      </c>
      <c r="D13" s="34"/>
      <c r="E13" s="35" t="s">
        <v>33</v>
      </c>
      <c r="F13" s="34"/>
      <c r="G13" s="42">
        <v>14387.12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9480</v>
      </c>
      <c r="D15" s="34"/>
      <c r="E15" s="35" t="s">
        <v>10</v>
      </c>
      <c r="F15" s="34"/>
      <c r="G15" s="42">
        <v>5687.72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6135</v>
      </c>
      <c r="D17" s="34"/>
      <c r="E17" s="35" t="s">
        <v>278</v>
      </c>
      <c r="F17" s="34"/>
      <c r="G17" s="42">
        <v>4640.97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26" activePane="bottomLeft" state="frozen"/>
      <selection pane="bottomLeft" activeCell="D48" sqref="D4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1306</v>
      </c>
      <c r="D3" s="328"/>
      <c r="E3" s="763"/>
      <c r="F3" s="328">
        <v>1601.25</v>
      </c>
      <c r="G3" s="763">
        <v>2798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1307</v>
      </c>
      <c r="D4" s="269"/>
      <c r="E4" s="757"/>
      <c r="F4" s="269">
        <v>513.07000000000005</v>
      </c>
      <c r="G4" s="757">
        <v>848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1308</v>
      </c>
      <c r="D5" s="328"/>
      <c r="E5" s="763"/>
      <c r="F5" s="328">
        <v>486.55</v>
      </c>
      <c r="G5" s="763">
        <v>792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1311</v>
      </c>
      <c r="D6" s="269"/>
      <c r="E6" s="757"/>
      <c r="F6" s="269">
        <v>304.14</v>
      </c>
      <c r="G6" s="757">
        <v>698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1306</v>
      </c>
      <c r="D7" s="269"/>
      <c r="E7" s="757"/>
      <c r="F7" s="269">
        <v>181</v>
      </c>
      <c r="G7" s="757">
        <v>261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1306</v>
      </c>
      <c r="D8" s="269"/>
      <c r="E8" s="757"/>
      <c r="F8" s="269">
        <v>113.82</v>
      </c>
      <c r="G8" s="757">
        <v>136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1307</v>
      </c>
      <c r="D9" s="269"/>
      <c r="E9" s="757"/>
      <c r="F9" s="269">
        <v>589.19000000000005</v>
      </c>
      <c r="G9" s="757">
        <v>989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1307</v>
      </c>
      <c r="D10" s="269"/>
      <c r="E10" s="757"/>
      <c r="F10" s="269">
        <v>442.6</v>
      </c>
      <c r="G10" s="757">
        <v>722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1306</v>
      </c>
      <c r="D11" s="269"/>
      <c r="E11" s="757"/>
      <c r="F11" s="269">
        <v>43.4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1307</v>
      </c>
      <c r="D12" s="269"/>
      <c r="E12" s="757"/>
      <c r="F12" s="269">
        <v>102.86</v>
      </c>
      <c r="G12" s="757">
        <v>103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1312</v>
      </c>
      <c r="B13" s="681">
        <v>3034878837</v>
      </c>
      <c r="C13" s="289" t="s">
        <v>1307</v>
      </c>
      <c r="D13" s="269"/>
      <c r="E13" s="757"/>
      <c r="F13" s="269">
        <v>590.69000000000005</v>
      </c>
      <c r="G13" s="757">
        <v>989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1313</v>
      </c>
      <c r="D14" s="269"/>
      <c r="E14" s="757"/>
      <c r="F14" s="269">
        <v>136.13999999999999</v>
      </c>
      <c r="G14" s="757">
        <v>164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1309</v>
      </c>
      <c r="D15" s="269"/>
      <c r="E15" s="757"/>
      <c r="F15" s="269">
        <v>583.01</v>
      </c>
      <c r="G15" s="757">
        <v>975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1291</v>
      </c>
      <c r="D16" s="269"/>
      <c r="E16" s="757"/>
      <c r="F16" s="544">
        <v>139.31</v>
      </c>
      <c r="G16" s="757">
        <v>183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1291</v>
      </c>
      <c r="D17" s="269"/>
      <c r="E17" s="757"/>
      <c r="F17" s="544">
        <v>131.25</v>
      </c>
      <c r="G17" s="757">
        <v>157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1325</v>
      </c>
      <c r="D19" s="618">
        <v>26.87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1325</v>
      </c>
      <c r="D20" s="618">
        <v>189.77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1325</v>
      </c>
      <c r="D21" s="618">
        <v>772.54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1314</v>
      </c>
      <c r="D22" s="618">
        <v>86.59</v>
      </c>
      <c r="E22" s="754">
        <v>1126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1325</v>
      </c>
      <c r="D23" s="618">
        <v>15.29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1318</v>
      </c>
      <c r="D24" s="618">
        <v>84.36</v>
      </c>
      <c r="E24" s="754">
        <v>1058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1318</v>
      </c>
      <c r="D25" s="618">
        <v>4228.28</v>
      </c>
      <c r="E25" s="754">
        <v>726000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828</v>
      </c>
      <c r="B26" s="686">
        <v>5216006443</v>
      </c>
      <c r="C26" s="546" t="s">
        <v>1325</v>
      </c>
      <c r="D26" s="618">
        <v>15.29</v>
      </c>
      <c r="E26" s="754">
        <v>70</v>
      </c>
      <c r="F26" s="548"/>
      <c r="G26" s="754"/>
      <c r="H26" s="618"/>
      <c r="I26" s="754"/>
      <c r="J26" s="546"/>
      <c r="K26" s="546" t="s">
        <v>780</v>
      </c>
      <c r="L26" s="546">
        <v>5216006443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1318</v>
      </c>
      <c r="D27" s="618">
        <v>61.17</v>
      </c>
      <c r="E27" s="754">
        <v>300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1320</v>
      </c>
      <c r="D28" s="618">
        <v>281.41000000000003</v>
      </c>
      <c r="E28" s="754">
        <v>1040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1325</v>
      </c>
      <c r="D29" s="618">
        <v>444.76</v>
      </c>
      <c r="E29" s="754">
        <v>5360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1321</v>
      </c>
      <c r="D30" s="618">
        <v>465.02</v>
      </c>
      <c r="E30" s="754">
        <v>5609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1325</v>
      </c>
      <c r="D31" s="618">
        <v>1025.32</v>
      </c>
      <c r="E31" s="754">
        <v>12960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1325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1325</v>
      </c>
      <c r="D33" s="618">
        <v>21.37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870</v>
      </c>
      <c r="B34" s="686">
        <v>5216006456</v>
      </c>
      <c r="C34" s="546" t="s">
        <v>1323</v>
      </c>
      <c r="D34" s="618">
        <v>309.99</v>
      </c>
      <c r="E34" s="754">
        <v>3372</v>
      </c>
      <c r="F34" s="548"/>
      <c r="G34" s="754"/>
      <c r="H34" s="618"/>
      <c r="I34" s="754"/>
      <c r="J34" s="546"/>
      <c r="K34" s="546" t="s">
        <v>793</v>
      </c>
      <c r="L34" s="546">
        <v>5216006456</v>
      </c>
    </row>
    <row r="35" spans="1:12" s="619" customFormat="1" ht="15.75" x14ac:dyDescent="0.25">
      <c r="A35" s="686" t="s">
        <v>851</v>
      </c>
      <c r="B35" s="686">
        <v>5216006457</v>
      </c>
      <c r="C35" s="546" t="s">
        <v>1323</v>
      </c>
      <c r="D35" s="618">
        <v>38.44</v>
      </c>
      <c r="E35" s="754">
        <v>384</v>
      </c>
      <c r="F35" s="548"/>
      <c r="G35" s="754"/>
      <c r="H35" s="618"/>
      <c r="I35" s="754"/>
      <c r="J35" s="546"/>
      <c r="K35" s="546" t="s">
        <v>794</v>
      </c>
      <c r="L35" s="546">
        <v>5216006457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1323</v>
      </c>
      <c r="D36" s="618">
        <v>38.44</v>
      </c>
      <c r="E36" s="754">
        <v>387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/>
      <c r="D37" s="618"/>
      <c r="E37" s="754"/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1320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1323</v>
      </c>
      <c r="D39" s="618">
        <v>22.25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1316</v>
      </c>
      <c r="D40" s="618">
        <v>154.97999999999999</v>
      </c>
      <c r="E40" s="754">
        <v>2155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1320</v>
      </c>
      <c r="D41" s="618">
        <v>26.6</v>
      </c>
      <c r="E41" s="754">
        <v>160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1325</v>
      </c>
      <c r="D42" s="618">
        <v>15.29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1325</v>
      </c>
      <c r="D43" s="618">
        <v>18.37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1318</v>
      </c>
      <c r="D44" s="618">
        <v>13.02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1323</v>
      </c>
      <c r="D45" s="618">
        <v>291.33</v>
      </c>
      <c r="E45" s="754">
        <v>2604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1325</v>
      </c>
      <c r="D46" s="618">
        <v>321.45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1325</v>
      </c>
      <c r="D47" s="618">
        <v>240.71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1325</v>
      </c>
      <c r="D48" s="618">
        <v>1026.7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1323</v>
      </c>
      <c r="D49" s="618">
        <v>22.25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1320</v>
      </c>
      <c r="D50" s="618">
        <v>26.6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1317</v>
      </c>
      <c r="D51" s="618">
        <v>121.91</v>
      </c>
      <c r="E51" s="754">
        <v>1440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1323</v>
      </c>
      <c r="D52" s="618">
        <v>34.659999999999997</v>
      </c>
      <c r="E52" s="754">
        <v>327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/>
      <c r="D53" s="618"/>
      <c r="E53" s="754"/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1320</v>
      </c>
      <c r="D54" s="618">
        <v>49.26</v>
      </c>
      <c r="E54" s="754">
        <v>55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1321</v>
      </c>
      <c r="D55" s="618">
        <v>77.62</v>
      </c>
      <c r="E55" s="754">
        <v>988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1319</v>
      </c>
      <c r="D56" s="618">
        <v>104.88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1323</v>
      </c>
      <c r="D57" s="618">
        <v>652.63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1320</v>
      </c>
      <c r="D58" s="618">
        <v>157.13</v>
      </c>
      <c r="E58" s="754">
        <v>1429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1317</v>
      </c>
      <c r="D59" s="618">
        <v>29.32</v>
      </c>
      <c r="E59" s="754">
        <v>246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1323</v>
      </c>
      <c r="D60" s="618">
        <v>13.18</v>
      </c>
      <c r="E60" s="754">
        <v>1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/>
      <c r="D61" s="618"/>
      <c r="E61" s="754"/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/>
      <c r="D62" s="618"/>
      <c r="E62" s="754"/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1319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/>
      <c r="D64" s="618"/>
      <c r="E64" s="754"/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1318</v>
      </c>
      <c r="D65" s="618">
        <v>127.59</v>
      </c>
      <c r="E65" s="754">
        <v>1748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1318</v>
      </c>
      <c r="D66" s="618">
        <v>87.65</v>
      </c>
      <c r="E66" s="754">
        <v>1138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1314</v>
      </c>
      <c r="D68" s="269">
        <v>208</v>
      </c>
      <c r="E68" s="757">
        <v>1953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1314</v>
      </c>
      <c r="D69" s="269">
        <v>181</v>
      </c>
      <c r="E69" s="757">
        <v>1440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1314</v>
      </c>
      <c r="D70" s="269">
        <v>105</v>
      </c>
      <c r="E70" s="757">
        <v>598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1314</v>
      </c>
      <c r="D71" s="269">
        <v>41</v>
      </c>
      <c r="E71" s="757">
        <v>114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1314</v>
      </c>
      <c r="D72" s="269">
        <v>37</v>
      </c>
      <c r="E72" s="757">
        <v>71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1314</v>
      </c>
      <c r="D73" s="269">
        <v>304</v>
      </c>
      <c r="E73" s="757">
        <v>2791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1314</v>
      </c>
      <c r="D74" s="269">
        <v>319</v>
      </c>
      <c r="E74" s="757">
        <v>3274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1314</v>
      </c>
      <c r="D75" s="269">
        <v>65</v>
      </c>
      <c r="E75" s="757">
        <v>386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1314</v>
      </c>
      <c r="D76" s="269">
        <v>117</v>
      </c>
      <c r="E76" s="757">
        <v>735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1314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1314</v>
      </c>
      <c r="D78" s="269">
        <v>71</v>
      </c>
      <c r="E78" s="757">
        <v>448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1314</v>
      </c>
      <c r="D79" s="269">
        <v>50</v>
      </c>
      <c r="E79" s="757">
        <v>0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1331</v>
      </c>
      <c r="B80" s="762" t="s">
        <v>201</v>
      </c>
      <c r="C80" s="327" t="s">
        <v>1314</v>
      </c>
      <c r="D80" s="328">
        <v>100</v>
      </c>
      <c r="E80" s="763">
        <v>596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1314</v>
      </c>
      <c r="D81" s="269">
        <v>1691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1314</v>
      </c>
      <c r="D82" s="269">
        <v>99</v>
      </c>
      <c r="E82" s="757">
        <v>671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1314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1314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1314</v>
      </c>
      <c r="D85" s="269">
        <v>40</v>
      </c>
      <c r="E85" s="757">
        <v>20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1322</v>
      </c>
      <c r="D86" s="269">
        <v>412</v>
      </c>
      <c r="E86" s="757">
        <v>3000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1314</v>
      </c>
      <c r="D87" s="269">
        <v>445</v>
      </c>
      <c r="E87" s="757">
        <v>3960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1314</v>
      </c>
      <c r="D88" s="674" t="s">
        <v>754</v>
      </c>
      <c r="E88" s="771"/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1314</v>
      </c>
      <c r="D89" s="269">
        <v>136</v>
      </c>
      <c r="E89" s="757">
        <v>472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1314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1314</v>
      </c>
      <c r="D91" s="269">
        <v>109</v>
      </c>
      <c r="E91" s="757">
        <v>666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1314</v>
      </c>
      <c r="D92" s="269">
        <v>113</v>
      </c>
      <c r="E92" s="757">
        <v>913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1314</v>
      </c>
      <c r="D93" s="269">
        <v>1549</v>
      </c>
      <c r="E93" s="757">
        <v>18240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1314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1314</v>
      </c>
      <c r="D95" s="269">
        <v>353</v>
      </c>
      <c r="E95" s="757">
        <v>1440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1314</v>
      </c>
      <c r="D97" s="269"/>
      <c r="E97" s="757"/>
      <c r="F97" s="544"/>
      <c r="G97" s="757"/>
      <c r="H97" s="269">
        <v>190.15</v>
      </c>
      <c r="I97" s="757">
        <v>196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1314</v>
      </c>
      <c r="D98" s="269"/>
      <c r="E98" s="757"/>
      <c r="F98" s="544"/>
      <c r="G98" s="757"/>
      <c r="H98" s="269">
        <v>70.510000000000005</v>
      </c>
      <c r="I98" s="757">
        <v>89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1314</v>
      </c>
      <c r="D99" s="269"/>
      <c r="E99" s="757"/>
      <c r="F99" s="544"/>
      <c r="G99" s="757"/>
      <c r="H99" s="269">
        <v>33.659999999999997</v>
      </c>
      <c r="I99" s="757">
        <v>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1314</v>
      </c>
      <c r="D100" s="269"/>
      <c r="E100" s="757"/>
      <c r="F100" s="544"/>
      <c r="G100" s="757"/>
      <c r="H100" s="269">
        <v>39.53</v>
      </c>
      <c r="I100" s="757">
        <v>31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1314</v>
      </c>
      <c r="D101" s="269"/>
      <c r="E101" s="757"/>
      <c r="F101" s="544"/>
      <c r="G101" s="757"/>
      <c r="H101" s="269">
        <v>33.659999999999997</v>
      </c>
      <c r="I101" s="757">
        <v>19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1314</v>
      </c>
      <c r="D102" s="269"/>
      <c r="E102" s="757"/>
      <c r="F102" s="544"/>
      <c r="G102" s="757"/>
      <c r="H102" s="269">
        <v>33.659999999999997</v>
      </c>
      <c r="I102" s="757">
        <v>10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1314</v>
      </c>
      <c r="D103" s="269"/>
      <c r="E103" s="757"/>
      <c r="F103" s="544"/>
      <c r="G103" s="757"/>
      <c r="H103" s="269">
        <v>36.33</v>
      </c>
      <c r="I103" s="757">
        <v>25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1314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1314</v>
      </c>
      <c r="D105" s="269"/>
      <c r="E105" s="757"/>
      <c r="F105" s="544"/>
      <c r="G105" s="757"/>
      <c r="H105" s="269">
        <v>92.61</v>
      </c>
      <c r="I105" s="757">
        <v>125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1314</v>
      </c>
      <c r="D106" s="269"/>
      <c r="E106" s="757"/>
      <c r="F106" s="544"/>
      <c r="G106" s="757"/>
      <c r="H106" s="269">
        <v>43.27</v>
      </c>
      <c r="I106" s="757">
        <v>38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1314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1314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1314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1314</v>
      </c>
      <c r="D110" s="269"/>
      <c r="E110" s="757"/>
      <c r="F110" s="544"/>
      <c r="G110" s="757"/>
      <c r="H110" s="269">
        <v>33.659999999999997</v>
      </c>
      <c r="I110" s="757">
        <v>14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1314</v>
      </c>
      <c r="D111" s="269"/>
      <c r="E111" s="757"/>
      <c r="F111" s="544"/>
      <c r="G111" s="757"/>
      <c r="H111" s="269">
        <v>33.659999999999997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1314</v>
      </c>
      <c r="D112" s="269"/>
      <c r="E112" s="757"/>
      <c r="F112" s="544"/>
      <c r="G112" s="757"/>
      <c r="H112" s="269">
        <v>33.659999999999997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1314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1314</v>
      </c>
      <c r="D114" s="269"/>
      <c r="E114" s="757"/>
      <c r="F114" s="544"/>
      <c r="G114" s="757"/>
      <c r="H114" s="269">
        <v>33.659999999999997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1314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1314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1314</v>
      </c>
      <c r="D117" s="269"/>
      <c r="E117" s="757"/>
      <c r="F117" s="544"/>
      <c r="G117" s="757"/>
      <c r="H117" s="269">
        <v>33.659999999999997</v>
      </c>
      <c r="I117" s="757">
        <v>5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1314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1314</v>
      </c>
      <c r="D119" s="269"/>
      <c r="E119" s="757"/>
      <c r="F119" s="544"/>
      <c r="G119" s="757"/>
      <c r="H119" s="269">
        <v>33.659999999999997</v>
      </c>
      <c r="I119" s="757">
        <v>11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1314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1314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1314</v>
      </c>
      <c r="D122" s="269"/>
      <c r="E122" s="757"/>
      <c r="F122" s="544"/>
      <c r="G122" s="757"/>
      <c r="H122" s="269">
        <v>33.659999999999997</v>
      </c>
      <c r="I122" s="757">
        <v>3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1314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1314</v>
      </c>
      <c r="D124" s="269"/>
      <c r="E124" s="757"/>
      <c r="F124" s="544"/>
      <c r="G124" s="757"/>
      <c r="H124" s="269">
        <v>58.5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1314</v>
      </c>
      <c r="D125" s="269"/>
      <c r="E125" s="757"/>
      <c r="F125" s="544"/>
      <c r="G125" s="757"/>
      <c r="H125" s="269">
        <v>42.2</v>
      </c>
      <c r="I125" s="757">
        <v>36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1314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1314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1323</v>
      </c>
      <c r="D128" s="269"/>
      <c r="E128" s="757"/>
      <c r="F128" s="544"/>
      <c r="G128" s="757"/>
      <c r="H128" s="269">
        <v>39</v>
      </c>
      <c r="I128" s="757">
        <v>30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1314</v>
      </c>
      <c r="D129" s="269"/>
      <c r="E129" s="757"/>
      <c r="F129" s="544"/>
      <c r="G129" s="757"/>
      <c r="H129" s="269">
        <v>33.659999999999997</v>
      </c>
      <c r="I129" s="757">
        <v>14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1323</v>
      </c>
      <c r="D130" s="269"/>
      <c r="E130" s="757"/>
      <c r="F130" s="544"/>
      <c r="G130" s="757"/>
      <c r="H130" s="269">
        <v>1071.56</v>
      </c>
      <c r="I130" s="757">
        <v>1435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1323</v>
      </c>
      <c r="D131" s="269"/>
      <c r="E131" s="757"/>
      <c r="F131" s="544"/>
      <c r="G131" s="757"/>
      <c r="H131" s="269">
        <v>33.659999999999997</v>
      </c>
      <c r="I131" s="757">
        <v>7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1323</v>
      </c>
      <c r="D132" s="269"/>
      <c r="E132" s="757"/>
      <c r="F132" s="544"/>
      <c r="G132" s="757"/>
      <c r="H132" s="269">
        <v>1620.83</v>
      </c>
      <c r="I132" s="757">
        <v>2153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1323</v>
      </c>
      <c r="D133" s="269"/>
      <c r="E133" s="757"/>
      <c r="F133" s="544"/>
      <c r="G133" s="757"/>
      <c r="H133" s="269">
        <v>33.659999999999997</v>
      </c>
      <c r="I133" s="757">
        <v>3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1323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1323</v>
      </c>
      <c r="D135" s="269"/>
      <c r="E135" s="757"/>
      <c r="F135" s="544"/>
      <c r="G135" s="757"/>
      <c r="H135" s="269">
        <v>33.659999999999997</v>
      </c>
      <c r="I135" s="757">
        <v>12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1323</v>
      </c>
      <c r="D136" s="269"/>
      <c r="E136" s="757"/>
      <c r="F136" s="544"/>
      <c r="G136" s="757"/>
      <c r="H136" s="269">
        <v>123.76</v>
      </c>
      <c r="I136" s="757">
        <v>173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1323</v>
      </c>
      <c r="D137" s="269"/>
      <c r="E137" s="757"/>
      <c r="F137" s="544"/>
      <c r="G137" s="757"/>
      <c r="H137" s="269">
        <v>82.22</v>
      </c>
      <c r="I137" s="757">
        <v>109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1323</v>
      </c>
      <c r="D138" s="269"/>
      <c r="E138" s="757"/>
      <c r="F138" s="544"/>
      <c r="G138" s="757"/>
      <c r="H138" s="269">
        <v>132.84</v>
      </c>
      <c r="I138" s="757">
        <v>187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/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43507</v>
      </c>
      <c r="D143" s="269"/>
      <c r="E143" s="757"/>
      <c r="F143" s="544"/>
      <c r="G143" s="757"/>
      <c r="H143" s="269">
        <v>35.18</v>
      </c>
      <c r="I143" s="757">
        <v>50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1315</v>
      </c>
      <c r="D145" s="269"/>
      <c r="E145" s="757"/>
      <c r="F145" s="544"/>
      <c r="G145" s="757"/>
      <c r="H145" s="269">
        <v>20</v>
      </c>
      <c r="I145" s="757">
        <v>1300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1310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14"/>
      <c r="B4" s="815"/>
      <c r="C4" s="815"/>
      <c r="D4" s="815"/>
      <c r="E4" s="815"/>
      <c r="F4" s="815"/>
      <c r="G4" s="81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225058</v>
      </c>
      <c r="D13" s="34"/>
      <c r="E13" s="35" t="s">
        <v>33</v>
      </c>
      <c r="F13" s="34"/>
      <c r="G13" s="42">
        <v>21377.99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8500</v>
      </c>
      <c r="D15" s="34"/>
      <c r="E15" s="35" t="s">
        <v>10</v>
      </c>
      <c r="F15" s="34"/>
      <c r="G15" s="42">
        <v>5945.23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5247</v>
      </c>
      <c r="D17" s="34"/>
      <c r="E17" s="35" t="s">
        <v>278</v>
      </c>
      <c r="F17" s="34"/>
      <c r="G17" s="42">
        <v>3515.92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A61" sqref="A6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1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1306</v>
      </c>
      <c r="D3" s="328"/>
      <c r="E3" s="763"/>
      <c r="F3" s="620">
        <v>1601.25</v>
      </c>
      <c r="G3" s="763">
        <v>2798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1291</v>
      </c>
      <c r="D4" s="269"/>
      <c r="E4" s="757"/>
      <c r="F4" s="544">
        <v>465.34</v>
      </c>
      <c r="G4" s="757">
        <v>701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1308</v>
      </c>
      <c r="D5" s="328"/>
      <c r="E5" s="763"/>
      <c r="F5" s="620">
        <v>486.55</v>
      </c>
      <c r="G5" s="763">
        <v>792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1291</v>
      </c>
      <c r="D6" s="269"/>
      <c r="E6" s="757"/>
      <c r="F6" s="544">
        <v>304.14</v>
      </c>
      <c r="G6" s="757">
        <v>432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1289</v>
      </c>
      <c r="D7" s="269"/>
      <c r="E7" s="757"/>
      <c r="F7" s="544">
        <v>132.69</v>
      </c>
      <c r="G7" s="757">
        <v>134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1289</v>
      </c>
      <c r="D8" s="269"/>
      <c r="E8" s="757"/>
      <c r="F8" s="544">
        <v>107.05</v>
      </c>
      <c r="G8" s="757">
        <v>86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1294</v>
      </c>
      <c r="D9" s="269"/>
      <c r="E9" s="757"/>
      <c r="F9" s="544">
        <v>581.39</v>
      </c>
      <c r="G9" s="757">
        <v>895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1291</v>
      </c>
      <c r="D10" s="269"/>
      <c r="E10" s="757"/>
      <c r="F10" s="544">
        <v>567.54</v>
      </c>
      <c r="G10" s="757">
        <v>474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1306</v>
      </c>
      <c r="D11" s="269"/>
      <c r="E11" s="757"/>
      <c r="F11" s="544">
        <v>43.4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1291</v>
      </c>
      <c r="D12" s="269"/>
      <c r="E12" s="757"/>
      <c r="F12" s="544">
        <v>56.93</v>
      </c>
      <c r="G12" s="757">
        <v>18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1291</v>
      </c>
      <c r="D13" s="269"/>
      <c r="E13" s="757"/>
      <c r="F13" s="544">
        <v>542.47</v>
      </c>
      <c r="G13" s="757">
        <v>830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1292</v>
      </c>
      <c r="D14" s="269"/>
      <c r="E14" s="757"/>
      <c r="F14" s="544">
        <v>222.51</v>
      </c>
      <c r="G14" s="757">
        <v>130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1291</v>
      </c>
      <c r="D15" s="269"/>
      <c r="E15" s="757"/>
      <c r="F15" s="544">
        <v>563.41</v>
      </c>
      <c r="G15" s="757">
        <v>865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1291</v>
      </c>
      <c r="D16" s="269"/>
      <c r="E16" s="757"/>
      <c r="F16" s="544">
        <v>139.31</v>
      </c>
      <c r="G16" s="757">
        <v>183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1291</v>
      </c>
      <c r="D17" s="269"/>
      <c r="E17" s="757"/>
      <c r="F17" s="544">
        <v>131.25</v>
      </c>
      <c r="G17" s="757">
        <v>157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1304</v>
      </c>
      <c r="D19" s="618">
        <v>27.37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1304</v>
      </c>
      <c r="D20" s="618">
        <v>193.68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1304</v>
      </c>
      <c r="D21" s="618">
        <v>800.38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1298</v>
      </c>
      <c r="D22" s="618">
        <v>97.2</v>
      </c>
      <c r="E22" s="754">
        <v>1197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1304</v>
      </c>
      <c r="D23" s="618">
        <v>15.71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1301</v>
      </c>
      <c r="D24" s="618">
        <v>103.03</v>
      </c>
      <c r="E24" s="754">
        <v>1233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1301</v>
      </c>
      <c r="D25" s="618">
        <v>4412.0200000000004</v>
      </c>
      <c r="E25" s="754">
        <v>70700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1304</v>
      </c>
      <c r="D26" s="618">
        <v>242.11</v>
      </c>
      <c r="E26" s="754">
        <v>1724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1301</v>
      </c>
      <c r="D27" s="618">
        <v>62.48</v>
      </c>
      <c r="E27" s="754">
        <v>300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1298</v>
      </c>
      <c r="D28" s="618">
        <v>109.78</v>
      </c>
      <c r="E28" s="754">
        <v>770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/>
      <c r="B29" s="686">
        <v>5216006449</v>
      </c>
      <c r="C29" s="546" t="s">
        <v>1303</v>
      </c>
      <c r="D29" s="618">
        <v>121.32</v>
      </c>
      <c r="E29" s="754">
        <v>1440</v>
      </c>
      <c r="F29" s="548"/>
      <c r="G29" s="754"/>
      <c r="H29" s="618"/>
      <c r="I29" s="754"/>
      <c r="J29" s="546"/>
      <c r="K29" s="546"/>
      <c r="L29" s="546"/>
    </row>
    <row r="30" spans="1:36" s="619" customFormat="1" ht="15.75" x14ac:dyDescent="0.25">
      <c r="A30" s="686" t="s">
        <v>859</v>
      </c>
      <c r="B30" s="686">
        <v>5216006450</v>
      </c>
      <c r="C30" s="546" t="s">
        <v>1304</v>
      </c>
      <c r="D30" s="618">
        <v>417.06</v>
      </c>
      <c r="E30" s="754">
        <v>4560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1299</v>
      </c>
      <c r="D31" s="618">
        <v>538.5</v>
      </c>
      <c r="E31" s="754">
        <v>6064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1304</v>
      </c>
      <c r="D32" s="618">
        <v>1292.5</v>
      </c>
      <c r="E32" s="754">
        <v>16860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7.75" customHeight="1" x14ac:dyDescent="0.25">
      <c r="A33" s="686" t="s">
        <v>872</v>
      </c>
      <c r="B33" s="686">
        <v>5216006453</v>
      </c>
      <c r="C33" s="546" t="s">
        <v>1304</v>
      </c>
      <c r="D33" s="618">
        <v>13.12</v>
      </c>
      <c r="E33" s="754">
        <v>0</v>
      </c>
      <c r="F33" s="548"/>
      <c r="G33" s="754"/>
      <c r="H33" s="618"/>
      <c r="I33" s="754"/>
      <c r="J33" s="546"/>
      <c r="K33" s="546" t="s">
        <v>790</v>
      </c>
      <c r="L33" s="546">
        <v>5216006453</v>
      </c>
    </row>
    <row r="34" spans="1:12" s="619" customFormat="1" ht="21" customHeight="1" x14ac:dyDescent="0.25">
      <c r="A34" s="686" t="s">
        <v>858</v>
      </c>
      <c r="B34" s="686">
        <v>5216006454</v>
      </c>
      <c r="C34" s="546" t="s">
        <v>1304</v>
      </c>
      <c r="D34" s="618">
        <v>22.29</v>
      </c>
      <c r="E34" s="754">
        <v>150</v>
      </c>
      <c r="F34" s="548"/>
      <c r="G34" s="754"/>
      <c r="H34" s="618"/>
      <c r="I34" s="754"/>
      <c r="J34" s="546"/>
      <c r="K34" s="546" t="s">
        <v>791</v>
      </c>
      <c r="L34" s="546">
        <v>5216006454</v>
      </c>
    </row>
    <row r="35" spans="1:12" s="619" customFormat="1" ht="21" customHeight="1" x14ac:dyDescent="0.25">
      <c r="A35" s="686" t="s">
        <v>1126</v>
      </c>
      <c r="B35" s="686">
        <v>5216006455</v>
      </c>
      <c r="C35" s="546" t="s">
        <v>1302</v>
      </c>
      <c r="D35" s="618">
        <v>22.42</v>
      </c>
      <c r="E35" s="754">
        <v>150</v>
      </c>
      <c r="F35" s="548"/>
      <c r="G35" s="754"/>
      <c r="H35" s="618"/>
      <c r="I35" s="754"/>
      <c r="J35" s="546"/>
      <c r="K35" s="546"/>
      <c r="L35" s="546"/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1305</v>
      </c>
      <c r="D36" s="618">
        <v>333.67</v>
      </c>
      <c r="E36" s="754">
        <v>3587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1305</v>
      </c>
      <c r="D37" s="618">
        <v>46.55</v>
      </c>
      <c r="E37" s="754">
        <v>472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1301</v>
      </c>
      <c r="D38" s="618">
        <v>359.79</v>
      </c>
      <c r="E38" s="754">
        <v>4132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1299</v>
      </c>
      <c r="D39" s="618">
        <v>45.07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1305</v>
      </c>
      <c r="D40" s="618">
        <v>23.12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1302</v>
      </c>
      <c r="D41" s="618">
        <v>193.42</v>
      </c>
      <c r="E41" s="754">
        <v>2523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1298</v>
      </c>
      <c r="D42" s="618">
        <v>17.53</v>
      </c>
      <c r="E42" s="754">
        <v>63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1304</v>
      </c>
      <c r="D43" s="618">
        <v>15.71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1304</v>
      </c>
      <c r="D44" s="618">
        <v>36.090000000000003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1301</v>
      </c>
      <c r="D45" s="618">
        <v>13.02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1305</v>
      </c>
      <c r="D46" s="618">
        <v>291.8</v>
      </c>
      <c r="E46" s="754">
        <v>2571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1304</v>
      </c>
      <c r="D47" s="618">
        <v>333.36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1304</v>
      </c>
      <c r="D48" s="618">
        <v>246.7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1304</v>
      </c>
      <c r="D49" s="618">
        <v>1011.18</v>
      </c>
      <c r="E49" s="754">
        <v>10380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1305</v>
      </c>
      <c r="D50" s="618">
        <v>23.12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1299</v>
      </c>
      <c r="D51" s="618">
        <v>27.63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1302</v>
      </c>
      <c r="D52" s="618">
        <v>149.1</v>
      </c>
      <c r="E52" s="754">
        <v>1677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1305</v>
      </c>
      <c r="D53" s="618">
        <v>34.99</v>
      </c>
      <c r="E53" s="754">
        <v>309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1304</v>
      </c>
      <c r="D54" s="618">
        <v>22.29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1299</v>
      </c>
      <c r="D55" s="618">
        <v>49.6</v>
      </c>
      <c r="E55" s="754">
        <v>57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1300</v>
      </c>
      <c r="D56" s="618">
        <v>143.72</v>
      </c>
      <c r="E56" s="754">
        <v>1862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/>
      <c r="D57" s="618"/>
      <c r="E57" s="754"/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1305</v>
      </c>
      <c r="D58" s="618">
        <v>744.8</v>
      </c>
      <c r="E58" s="754">
        <v>9000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1299</v>
      </c>
      <c r="D59" s="618">
        <v>163.52000000000001</v>
      </c>
      <c r="E59" s="754">
        <v>1436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1302</v>
      </c>
      <c r="D60" s="618">
        <v>33.85</v>
      </c>
      <c r="E60" s="754">
        <v>290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1305</v>
      </c>
      <c r="D61" s="618">
        <v>13.19</v>
      </c>
      <c r="E61" s="754">
        <v>1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1304</v>
      </c>
      <c r="D62" s="618">
        <v>304.95999999999998</v>
      </c>
      <c r="E62" s="754">
        <v>2652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1304</v>
      </c>
      <c r="D63" s="618">
        <v>25.16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1298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1304</v>
      </c>
      <c r="D65" s="618">
        <v>1050.07</v>
      </c>
      <c r="E65" s="754">
        <v>8000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1301</v>
      </c>
      <c r="D66" s="618">
        <v>112.1</v>
      </c>
      <c r="E66" s="754">
        <v>1396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1301</v>
      </c>
      <c r="D67" s="618">
        <v>93.53</v>
      </c>
      <c r="E67" s="754">
        <v>1135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1292</v>
      </c>
      <c r="D69" s="269">
        <v>194</v>
      </c>
      <c r="E69" s="757">
        <v>1861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1292</v>
      </c>
      <c r="D70" s="269">
        <v>176</v>
      </c>
      <c r="E70" s="757">
        <v>1426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1292</v>
      </c>
      <c r="D71" s="269">
        <v>115</v>
      </c>
      <c r="E71" s="757">
        <v>735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1292</v>
      </c>
      <c r="D72" s="269">
        <v>41</v>
      </c>
      <c r="E72" s="757">
        <v>117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1292</v>
      </c>
      <c r="D73" s="269">
        <v>37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1292</v>
      </c>
      <c r="D74" s="269">
        <v>314</v>
      </c>
      <c r="E74" s="757">
        <v>3003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1292</v>
      </c>
      <c r="D75" s="269">
        <v>287</v>
      </c>
      <c r="E75" s="757">
        <v>3027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1292</v>
      </c>
      <c r="D76" s="269">
        <v>64</v>
      </c>
      <c r="E76" s="757">
        <v>381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1292</v>
      </c>
      <c r="D77" s="269">
        <v>59</v>
      </c>
      <c r="E77" s="757">
        <v>97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1292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1292</v>
      </c>
      <c r="D79" s="269">
        <v>39</v>
      </c>
      <c r="E79" s="757">
        <v>93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1292</v>
      </c>
      <c r="D80" s="269">
        <v>50.26</v>
      </c>
      <c r="E80" s="757">
        <v>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331" customFormat="1" x14ac:dyDescent="0.25">
      <c r="A81" s="764" t="s">
        <v>1332</v>
      </c>
      <c r="B81" s="762" t="s">
        <v>201</v>
      </c>
      <c r="C81" s="327" t="s">
        <v>1292</v>
      </c>
      <c r="D81" s="328">
        <v>119</v>
      </c>
      <c r="E81" s="763">
        <v>835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1292</v>
      </c>
      <c r="D82" s="269">
        <v>1766</v>
      </c>
      <c r="E82" s="757">
        <v>17880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1292</v>
      </c>
      <c r="D83" s="269">
        <v>78</v>
      </c>
      <c r="E83" s="757">
        <v>461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1292</v>
      </c>
      <c r="D84" s="269">
        <v>56</v>
      </c>
      <c r="E84" s="757">
        <v>0.96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1292</v>
      </c>
      <c r="D85" s="269">
        <v>30</v>
      </c>
      <c r="E85" s="757">
        <v>27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1292</v>
      </c>
      <c r="D86" s="269">
        <v>40</v>
      </c>
      <c r="E86" s="757">
        <v>21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1292</v>
      </c>
      <c r="D87" s="269">
        <v>402</v>
      </c>
      <c r="E87" s="757">
        <v>3000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1292</v>
      </c>
      <c r="D88" s="269">
        <v>517</v>
      </c>
      <c r="E88" s="757">
        <v>4920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1292</v>
      </c>
      <c r="D89" s="674">
        <v>264</v>
      </c>
      <c r="E89" s="771">
        <v>22.44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1292</v>
      </c>
      <c r="D90" s="269">
        <v>101</v>
      </c>
      <c r="E90" s="757">
        <v>423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1292</v>
      </c>
      <c r="D91" s="269">
        <v>50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1292</v>
      </c>
      <c r="D92" s="269">
        <v>96</v>
      </c>
      <c r="E92" s="757">
        <v>541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1292</v>
      </c>
      <c r="D93" s="269">
        <v>111</v>
      </c>
      <c r="E93" s="757">
        <v>919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1292</v>
      </c>
      <c r="D94" s="269">
        <v>1469</v>
      </c>
      <c r="E94" s="757">
        <v>17640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1292</v>
      </c>
      <c r="D95" s="269">
        <v>50</v>
      </c>
      <c r="E95" s="757">
        <v>0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1292</v>
      </c>
      <c r="D96" s="269">
        <v>359</v>
      </c>
      <c r="E96" s="757">
        <v>1680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1296</v>
      </c>
      <c r="D98" s="269"/>
      <c r="E98" s="757"/>
      <c r="F98" s="544"/>
      <c r="G98" s="757"/>
      <c r="H98" s="269">
        <v>136.09</v>
      </c>
      <c r="I98" s="757">
        <v>192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1296</v>
      </c>
      <c r="D99" s="269"/>
      <c r="E99" s="757"/>
      <c r="F99" s="544"/>
      <c r="G99" s="757"/>
      <c r="H99" s="269">
        <v>36.86</v>
      </c>
      <c r="I99" s="757">
        <v>26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1296</v>
      </c>
      <c r="D100" s="269"/>
      <c r="E100" s="757"/>
      <c r="F100" s="544"/>
      <c r="G100" s="757"/>
      <c r="H100" s="269">
        <v>33.659999999999997</v>
      </c>
      <c r="I100" s="757">
        <v>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1296</v>
      </c>
      <c r="D101" s="269"/>
      <c r="E101" s="757"/>
      <c r="F101" s="544"/>
      <c r="G101" s="757"/>
      <c r="H101" s="269">
        <v>40.07</v>
      </c>
      <c r="I101" s="757">
        <v>32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1296</v>
      </c>
      <c r="D102" s="269"/>
      <c r="E102" s="757"/>
      <c r="F102" s="544"/>
      <c r="G102" s="757"/>
      <c r="H102" s="269">
        <v>37.93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1296</v>
      </c>
      <c r="D103" s="269"/>
      <c r="E103" s="757"/>
      <c r="F103" s="544"/>
      <c r="G103" s="757"/>
      <c r="H103" s="269">
        <v>33.659999999999997</v>
      </c>
      <c r="I103" s="757">
        <v>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1296</v>
      </c>
      <c r="D104" s="269"/>
      <c r="E104" s="757"/>
      <c r="F104" s="544"/>
      <c r="G104" s="757"/>
      <c r="H104" s="269">
        <v>43.27</v>
      </c>
      <c r="I104" s="757">
        <v>38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1296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1296</v>
      </c>
      <c r="D106" s="269"/>
      <c r="E106" s="757"/>
      <c r="F106" s="544"/>
      <c r="G106" s="757"/>
      <c r="H106" s="269">
        <v>52.35</v>
      </c>
      <c r="I106" s="757">
        <v>55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1296</v>
      </c>
      <c r="D107" s="269"/>
      <c r="E107" s="757"/>
      <c r="F107" s="544"/>
      <c r="G107" s="757"/>
      <c r="H107" s="269">
        <v>33.659999999999997</v>
      </c>
      <c r="I107" s="757">
        <v>15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1296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1296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1296</v>
      </c>
      <c r="D110" s="269"/>
      <c r="E110" s="757"/>
      <c r="F110" s="544"/>
      <c r="G110" s="757"/>
      <c r="H110" s="269">
        <v>33.659999999999997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1296</v>
      </c>
      <c r="D111" s="269"/>
      <c r="E111" s="757"/>
      <c r="F111" s="544"/>
      <c r="G111" s="757"/>
      <c r="H111" s="269">
        <v>33.659999999999997</v>
      </c>
      <c r="I111" s="757">
        <v>4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1296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45" t="s">
        <v>1296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1296</v>
      </c>
      <c r="D114" s="269"/>
      <c r="E114" s="757"/>
      <c r="F114" s="544"/>
      <c r="G114" s="757"/>
      <c r="H114" s="269">
        <v>33.659999999999997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1296</v>
      </c>
      <c r="D115" s="269"/>
      <c r="E115" s="757"/>
      <c r="F115" s="544"/>
      <c r="G115" s="757"/>
      <c r="H115" s="269">
        <v>33.659999999999997</v>
      </c>
      <c r="I115" s="757">
        <v>7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1296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45" t="s">
        <v>1296</v>
      </c>
      <c r="D117" s="269"/>
      <c r="E117" s="757"/>
      <c r="F117" s="544"/>
      <c r="G117" s="757"/>
      <c r="H117" s="269">
        <v>33.659999999999997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1296</v>
      </c>
      <c r="D118" s="269"/>
      <c r="E118" s="757"/>
      <c r="F118" s="544"/>
      <c r="G118" s="757"/>
      <c r="H118" s="269">
        <v>33.659999999999997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1296</v>
      </c>
      <c r="D119" s="269"/>
      <c r="E119" s="757"/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1296</v>
      </c>
      <c r="D120" s="269"/>
      <c r="E120" s="757"/>
      <c r="F120" s="544"/>
      <c r="G120" s="757"/>
      <c r="H120" s="269">
        <v>33.659999999999997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1296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1296</v>
      </c>
      <c r="D122" s="269"/>
      <c r="E122" s="757"/>
      <c r="F122" s="544"/>
      <c r="G122" s="757"/>
      <c r="H122" s="269">
        <v>33.659999999999997</v>
      </c>
      <c r="I122" s="757">
        <v>0</v>
      </c>
      <c r="J122" s="245"/>
      <c r="K122" s="245"/>
      <c r="L122" s="245"/>
    </row>
    <row r="123" spans="1:12" s="371" customFormat="1" x14ac:dyDescent="0.25">
      <c r="A123" s="779" t="s">
        <v>103</v>
      </c>
      <c r="B123" s="780" t="s">
        <v>194</v>
      </c>
      <c r="C123" s="367"/>
      <c r="D123" s="368"/>
      <c r="E123" s="781"/>
      <c r="F123" s="654"/>
      <c r="G123" s="781"/>
      <c r="H123" s="368">
        <v>51.48</v>
      </c>
      <c r="I123" s="781">
        <v>101</v>
      </c>
      <c r="J123" s="367"/>
      <c r="K123" s="367"/>
      <c r="L123" s="367"/>
    </row>
    <row r="124" spans="1:12" s="184" customFormat="1" ht="26.25" x14ac:dyDescent="0.25">
      <c r="A124" s="695" t="s">
        <v>983</v>
      </c>
      <c r="B124" s="681" t="s">
        <v>981</v>
      </c>
      <c r="C124" s="245" t="s">
        <v>1296</v>
      </c>
      <c r="D124" s="269"/>
      <c r="E124" s="757"/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1280</v>
      </c>
      <c r="D125" s="269"/>
      <c r="E125" s="757"/>
      <c r="F125" s="544"/>
      <c r="G125" s="757"/>
      <c r="H125" s="269">
        <v>50.49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1296</v>
      </c>
      <c r="D126" s="269"/>
      <c r="E126" s="757"/>
      <c r="F126" s="544"/>
      <c r="G126" s="757"/>
      <c r="H126" s="269">
        <v>41.14</v>
      </c>
      <c r="I126" s="757">
        <v>34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1296</v>
      </c>
      <c r="D127" s="269"/>
      <c r="E127" s="757"/>
      <c r="F127" s="544"/>
      <c r="G127" s="757"/>
      <c r="H127" s="269">
        <v>33.659999999999997</v>
      </c>
      <c r="I127" s="757">
        <v>10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1296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1299</v>
      </c>
      <c r="D129" s="269"/>
      <c r="E129" s="757"/>
      <c r="F129" s="544"/>
      <c r="G129" s="757"/>
      <c r="H129" s="269">
        <v>37.4</v>
      </c>
      <c r="I129" s="757">
        <v>27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1296</v>
      </c>
      <c r="D130" s="269"/>
      <c r="E130" s="757"/>
      <c r="F130" s="544"/>
      <c r="G130" s="757"/>
      <c r="H130" s="269">
        <v>43.27</v>
      </c>
      <c r="I130" s="757">
        <v>38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1299</v>
      </c>
      <c r="D131" s="269"/>
      <c r="E131" s="757"/>
      <c r="F131" s="544"/>
      <c r="G131" s="757"/>
      <c r="H131" s="269">
        <v>33.659999999999997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1299</v>
      </c>
      <c r="D132" s="269"/>
      <c r="E132" s="757"/>
      <c r="F132" s="544"/>
      <c r="G132" s="757"/>
      <c r="H132" s="269">
        <v>70.569999999999993</v>
      </c>
      <c r="I132" s="757">
        <v>91</v>
      </c>
      <c r="J132" s="245"/>
      <c r="K132" s="245"/>
      <c r="L132" s="245"/>
    </row>
    <row r="133" spans="1:36" s="813" customFormat="1" x14ac:dyDescent="0.25">
      <c r="A133" s="806" t="s">
        <v>309</v>
      </c>
      <c r="B133" s="807" t="s">
        <v>135</v>
      </c>
      <c r="C133" s="808" t="s">
        <v>1299</v>
      </c>
      <c r="D133" s="809"/>
      <c r="E133" s="810"/>
      <c r="F133" s="811"/>
      <c r="G133" s="810"/>
      <c r="H133" s="809">
        <v>1736.37</v>
      </c>
      <c r="I133" s="810">
        <v>2304</v>
      </c>
      <c r="J133" s="812"/>
      <c r="K133" s="812"/>
      <c r="L133" s="812"/>
    </row>
    <row r="134" spans="1:36" s="813" customFormat="1" x14ac:dyDescent="0.25">
      <c r="A134" s="806" t="s">
        <v>1091</v>
      </c>
      <c r="B134" s="807" t="s">
        <v>138</v>
      </c>
      <c r="C134" s="808" t="s">
        <v>1299</v>
      </c>
      <c r="D134" s="809"/>
      <c r="E134" s="810"/>
      <c r="F134" s="811"/>
      <c r="G134" s="810"/>
      <c r="H134" s="809">
        <v>33.659999999999997</v>
      </c>
      <c r="I134" s="810">
        <v>3</v>
      </c>
      <c r="J134" s="812"/>
      <c r="K134" s="812"/>
      <c r="L134" s="812"/>
    </row>
    <row r="135" spans="1:36" s="184" customFormat="1" x14ac:dyDescent="0.25">
      <c r="A135" s="695" t="s">
        <v>1090</v>
      </c>
      <c r="B135" s="681" t="s">
        <v>141</v>
      </c>
      <c r="C135" s="245" t="s">
        <v>1299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1299</v>
      </c>
      <c r="D136" s="269"/>
      <c r="E136" s="757"/>
      <c r="F136" s="544"/>
      <c r="G136" s="757"/>
      <c r="H136" s="269">
        <v>33.659999999999997</v>
      </c>
      <c r="I136" s="757">
        <v>10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1299</v>
      </c>
      <c r="D137" s="269"/>
      <c r="E137" s="757"/>
      <c r="F137" s="544"/>
      <c r="G137" s="757"/>
      <c r="H137" s="269">
        <v>59.29</v>
      </c>
      <c r="I137" s="757">
        <v>68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1299</v>
      </c>
      <c r="D138" s="269"/>
      <c r="E138" s="757"/>
      <c r="F138" s="544"/>
      <c r="G138" s="757"/>
      <c r="H138" s="269">
        <v>39</v>
      </c>
      <c r="I138" s="757">
        <v>30</v>
      </c>
      <c r="J138" s="245"/>
      <c r="K138" s="245"/>
      <c r="L138" s="245"/>
    </row>
    <row r="139" spans="1:36" s="582" customFormat="1" x14ac:dyDescent="0.25">
      <c r="A139" s="731" t="s">
        <v>176</v>
      </c>
      <c r="B139" s="805" t="s">
        <v>165</v>
      </c>
      <c r="C139" s="581"/>
      <c r="D139" s="579"/>
      <c r="E139" s="804"/>
      <c r="F139" s="631"/>
      <c r="G139" s="804"/>
      <c r="H139" s="579"/>
      <c r="I139" s="804"/>
      <c r="J139" s="581"/>
      <c r="K139" s="581"/>
      <c r="L139" s="581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1296</v>
      </c>
      <c r="D141" s="269"/>
      <c r="E141" s="757"/>
      <c r="F141" s="544"/>
      <c r="G141" s="757"/>
      <c r="H141" s="269">
        <v>50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1296</v>
      </c>
      <c r="D142" s="269"/>
      <c r="E142" s="757"/>
      <c r="F142" s="544"/>
      <c r="G142" s="757"/>
      <c r="H142" s="269">
        <v>60</v>
      </c>
      <c r="I142" s="757">
        <v>700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43474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1295</v>
      </c>
      <c r="D146" s="269"/>
      <c r="E146" s="757"/>
      <c r="F146" s="544"/>
      <c r="G146" s="757"/>
      <c r="H146" s="269">
        <v>20</v>
      </c>
      <c r="I146" s="757">
        <v>1300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8" sqref="C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1297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01"/>
      <c r="B4" s="802"/>
      <c r="C4" s="802"/>
      <c r="D4" s="802"/>
      <c r="E4" s="802"/>
      <c r="F4" s="802"/>
      <c r="G4" s="80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221207</v>
      </c>
      <c r="D13" s="34"/>
      <c r="E13" s="35" t="s">
        <v>33</v>
      </c>
      <c r="F13" s="34"/>
      <c r="G13" s="42">
        <v>19718.61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3289</v>
      </c>
      <c r="D15" s="34"/>
      <c r="E15" s="35" t="s">
        <v>10</v>
      </c>
      <c r="F15" s="34"/>
      <c r="G15" s="42">
        <v>3449.73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4291</v>
      </c>
      <c r="D17" s="34"/>
      <c r="E17" s="35" t="s">
        <v>278</v>
      </c>
      <c r="F17" s="34"/>
      <c r="G17" s="42">
        <v>3643.28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98" activePane="bottomLeft" state="frozen"/>
      <selection pane="bottomLeft" activeCell="F143" sqref="F1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2159</v>
      </c>
      <c r="D3" s="328"/>
      <c r="E3" s="763"/>
      <c r="F3" s="620">
        <v>789.99</v>
      </c>
      <c r="G3" s="763">
        <v>1140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2161</v>
      </c>
      <c r="D4" s="269"/>
      <c r="E4" s="757"/>
      <c r="F4" s="544">
        <v>85.76</v>
      </c>
      <c r="G4" s="757">
        <v>28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2157</v>
      </c>
      <c r="D5" s="328"/>
      <c r="E5" s="763"/>
      <c r="F5" s="620">
        <v>109.82</v>
      </c>
      <c r="G5" s="763">
        <v>66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2165</v>
      </c>
      <c r="D6" s="269"/>
      <c r="E6" s="757"/>
      <c r="F6" s="544">
        <v>94</v>
      </c>
      <c r="G6" s="757">
        <v>41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2162</v>
      </c>
      <c r="D7" s="269"/>
      <c r="E7" s="757"/>
      <c r="F7" s="544">
        <v>85.15</v>
      </c>
      <c r="G7" s="757">
        <v>2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2163</v>
      </c>
      <c r="D8" s="269"/>
      <c r="E8" s="757"/>
      <c r="F8" s="544">
        <v>86.39</v>
      </c>
      <c r="G8" s="757">
        <v>29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2166</v>
      </c>
      <c r="D9" s="269"/>
      <c r="E9" s="757"/>
      <c r="F9" s="544">
        <v>89.56</v>
      </c>
      <c r="G9" s="757">
        <v>34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2163</v>
      </c>
      <c r="D10" s="269"/>
      <c r="E10" s="757"/>
      <c r="F10" s="544">
        <v>73.63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2164</v>
      </c>
      <c r="D11" s="269"/>
      <c r="E11" s="757"/>
      <c r="F11" s="544">
        <v>92.35</v>
      </c>
      <c r="G11" s="757">
        <v>15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2161</v>
      </c>
      <c r="D12" s="269"/>
      <c r="E12" s="757"/>
      <c r="F12" s="544">
        <v>68.02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2161</v>
      </c>
      <c r="D13" s="269"/>
      <c r="E13" s="757"/>
      <c r="F13" s="544">
        <v>119.95</v>
      </c>
      <c r="G13" s="757">
        <v>82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2165</v>
      </c>
      <c r="D14" s="269"/>
      <c r="E14" s="757"/>
      <c r="F14" s="544">
        <v>72.459999999999994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2161</v>
      </c>
      <c r="D15" s="269"/>
      <c r="E15" s="757"/>
      <c r="F15" s="544">
        <v>109.19</v>
      </c>
      <c r="G15" s="757">
        <v>65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2169</v>
      </c>
      <c r="D16" s="269"/>
      <c r="E16" s="757"/>
      <c r="F16" s="544">
        <v>41.42</v>
      </c>
      <c r="G16" s="757">
        <v>17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2169</v>
      </c>
      <c r="D17" s="269"/>
      <c r="E17" s="757"/>
      <c r="F17" s="544">
        <v>68.02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129.96</v>
      </c>
      <c r="E19" s="546">
        <f>1161+6</f>
        <v>1167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57.28</v>
      </c>
      <c r="E21" s="546">
        <v>744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16.93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69.23</v>
      </c>
      <c r="E23" s="546">
        <v>896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708.93</v>
      </c>
      <c r="E24" s="546">
        <f>8640+35</f>
        <v>8675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72.680000000000007</v>
      </c>
      <c r="E26" s="546">
        <v>941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17.29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15.38</v>
      </c>
      <c r="E28" s="546">
        <v>120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227.54</v>
      </c>
      <c r="E29" s="546">
        <f>2233+12</f>
        <v>2245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598.67999999999995</v>
      </c>
      <c r="E30" s="546">
        <f>8280+26</f>
        <v>8306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17.28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465.69</v>
      </c>
      <c r="E33" s="546">
        <f>4813+25</f>
        <v>4838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10.73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159.85</v>
      </c>
      <c r="E35" s="546">
        <f>404+12</f>
        <v>416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16.16</v>
      </c>
      <c r="E36" s="546">
        <v>131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4137.1499999999996</v>
      </c>
      <c r="E37" s="546">
        <f>72900+150</f>
        <v>73050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11.71</v>
      </c>
      <c r="E38" s="546">
        <v>62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386.2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19.79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14.68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17.510000000000002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1225.79</v>
      </c>
      <c r="E43" s="546">
        <f>15360+67</f>
        <v>15427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10.73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8.4700000000000006</v>
      </c>
      <c r="E45" s="546">
        <v>20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105.39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23.35</v>
      </c>
      <c r="E48" s="546">
        <v>228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245.57</v>
      </c>
      <c r="E49" s="546">
        <f>2213+14</f>
        <v>2227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10.199999999999999</v>
      </c>
      <c r="E50" s="546">
        <v>46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354.23</v>
      </c>
      <c r="E51" s="546">
        <f>4601+15</f>
        <v>4616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148.77000000000001</v>
      </c>
      <c r="E52" s="546">
        <v>1911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118.25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1018.31</v>
      </c>
      <c r="E54" s="546">
        <f>14100+49</f>
        <v>14149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6.88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61.53</v>
      </c>
      <c r="E56" s="546">
        <v>14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1210.78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447.59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22.86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290.27999999999997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206.41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832.67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56.9</v>
      </c>
      <c r="E64" s="546">
        <v>284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906.16</v>
      </c>
      <c r="E65" s="546">
        <f>13275+41</f>
        <v>13316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281.88</v>
      </c>
      <c r="E66" s="546">
        <v>422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238.92</v>
      </c>
      <c r="E67" s="546">
        <f>2408+13</f>
        <v>2421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307</v>
      </c>
      <c r="E69" s="757">
        <v>2550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156</v>
      </c>
      <c r="E70" s="757">
        <v>910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100</v>
      </c>
      <c r="E71" s="757">
        <v>373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54</v>
      </c>
      <c r="E72" s="757">
        <v>128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48</v>
      </c>
      <c r="E73" s="757">
        <v>70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212</v>
      </c>
      <c r="E74" s="757">
        <v>1445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99</v>
      </c>
      <c r="E75" s="757">
        <v>618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65</v>
      </c>
      <c r="E76" s="757">
        <v>233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84</v>
      </c>
      <c r="E77" s="757">
        <v>220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78</v>
      </c>
      <c r="E79" s="757">
        <v>360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80</v>
      </c>
      <c r="E80" s="757">
        <v>183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1835</v>
      </c>
      <c r="E81" s="757">
        <v>12000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101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2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902</v>
      </c>
      <c r="E85" s="757">
        <v>7200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462</v>
      </c>
      <c r="E86" s="757">
        <v>3600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296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205</v>
      </c>
      <c r="E88" s="757">
        <v>799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123</v>
      </c>
      <c r="E90" s="757">
        <v>397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226</v>
      </c>
      <c r="E91" s="757">
        <v>1771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305.44</v>
      </c>
      <c r="E92" s="757">
        <v>2345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1704</v>
      </c>
      <c r="E93" s="757">
        <v>15360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171</v>
      </c>
      <c r="E94" s="757">
        <v>1055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2168</v>
      </c>
      <c r="D96" s="269"/>
      <c r="E96" s="757"/>
      <c r="F96" s="544"/>
      <c r="G96" s="757"/>
      <c r="H96" s="269">
        <v>83.32</v>
      </c>
      <c r="I96" s="757">
        <v>102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247.24</v>
      </c>
      <c r="I97" s="757">
        <v>346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48.38</v>
      </c>
      <c r="I98" s="757">
        <v>37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43.57</v>
      </c>
      <c r="I100" s="757">
        <v>28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81.489999999999995</v>
      </c>
      <c r="I101" s="757">
        <v>99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61.19</v>
      </c>
      <c r="I102" s="757">
        <v>61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154.71</v>
      </c>
      <c r="I104" s="757">
        <v>212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4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83.32</v>
      </c>
      <c r="I108" s="757">
        <v>102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53.18</v>
      </c>
      <c r="I109" s="757">
        <v>46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19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49.98</v>
      </c>
      <c r="I113" s="757">
        <v>40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61.19</v>
      </c>
      <c r="I114" s="757">
        <v>61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1528.55</v>
      </c>
      <c r="I115" s="757">
        <v>2025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161.85</v>
      </c>
      <c r="I116" s="757">
        <v>223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71.87</v>
      </c>
      <c r="I118" s="757">
        <v>81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6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47.84</v>
      </c>
      <c r="I120" s="757">
        <v>36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241.59</v>
      </c>
      <c r="I122" s="757">
        <v>338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9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47.84</v>
      </c>
      <c r="I124" s="757">
        <v>36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2156</v>
      </c>
      <c r="D127" s="269"/>
      <c r="E127" s="757"/>
      <c r="F127" s="544"/>
      <c r="G127" s="757"/>
      <c r="H127" s="269">
        <v>42.5</v>
      </c>
      <c r="I127" s="757">
        <v>26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124.21</v>
      </c>
      <c r="I128" s="757">
        <v>165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2156</v>
      </c>
      <c r="D129" s="269"/>
      <c r="E129" s="757"/>
      <c r="F129" s="544"/>
      <c r="G129" s="757"/>
      <c r="H129" s="269">
        <v>51.05</v>
      </c>
      <c r="I129" s="757">
        <v>42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2156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2156</v>
      </c>
      <c r="D131" s="269"/>
      <c r="E131" s="757"/>
      <c r="F131" s="544"/>
      <c r="G131" s="757"/>
      <c r="H131" s="269">
        <v>2325.6799999999998</v>
      </c>
      <c r="I131" s="757">
        <v>3067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2156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2156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2156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2156</v>
      </c>
      <c r="D135" s="269"/>
      <c r="E135" s="757"/>
      <c r="F135" s="544"/>
      <c r="G135" s="757"/>
      <c r="H135" s="269">
        <v>420.83</v>
      </c>
      <c r="I135" s="757">
        <v>577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2156</v>
      </c>
      <c r="D136" s="269"/>
      <c r="E136" s="757"/>
      <c r="F136" s="544"/>
      <c r="G136" s="757"/>
      <c r="H136" s="269">
        <v>307.61</v>
      </c>
      <c r="I136" s="757">
        <v>429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2156</v>
      </c>
      <c r="D137" s="269"/>
      <c r="E137" s="757"/>
      <c r="F137" s="544"/>
      <c r="G137" s="757"/>
      <c r="H137" s="269">
        <v>375.69</v>
      </c>
      <c r="I137" s="757">
        <v>518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2169</v>
      </c>
      <c r="D139" s="269"/>
      <c r="E139" s="757"/>
      <c r="F139" s="544"/>
      <c r="G139" s="757"/>
      <c r="H139" s="269">
        <v>158</v>
      </c>
      <c r="I139" s="757">
        <v>4900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2167</v>
      </c>
      <c r="D143" s="269"/>
      <c r="E143" s="757"/>
      <c r="F143" s="544"/>
      <c r="G143" s="757"/>
      <c r="H143" s="269">
        <v>35</v>
      </c>
      <c r="I143" s="757">
        <v>60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" activePane="bottomLeft" state="frozen"/>
      <selection pane="bottomLeft" activeCell="A8" sqref="A8"/>
    </sheetView>
  </sheetViews>
  <sheetFormatPr defaultRowHeight="15" x14ac:dyDescent="0.25"/>
  <cols>
    <col min="1" max="1" width="40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1039.46</v>
      </c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1274</v>
      </c>
      <c r="D4" s="269"/>
      <c r="E4" s="757"/>
      <c r="F4" s="544">
        <v>306.27</v>
      </c>
      <c r="G4" s="757">
        <v>483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1273</v>
      </c>
      <c r="D5" s="328"/>
      <c r="E5" s="763"/>
      <c r="F5" s="620">
        <v>218.73</v>
      </c>
      <c r="G5" s="763">
        <v>322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1277</v>
      </c>
      <c r="D6" s="269"/>
      <c r="E6" s="757"/>
      <c r="F6" s="544">
        <v>267.23</v>
      </c>
      <c r="G6" s="757">
        <v>408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1289</v>
      </c>
      <c r="D7" s="269"/>
      <c r="E7" s="757"/>
      <c r="F7" s="544">
        <v>132.69</v>
      </c>
      <c r="G7" s="757">
        <v>134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1289</v>
      </c>
      <c r="D8" s="269"/>
      <c r="E8" s="757"/>
      <c r="F8" s="544">
        <v>107.05</v>
      </c>
      <c r="G8" s="757">
        <v>86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1276</v>
      </c>
      <c r="D9" s="269"/>
      <c r="E9" s="757"/>
      <c r="F9" s="544">
        <v>341.1</v>
      </c>
      <c r="G9" s="757">
        <v>546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1276</v>
      </c>
      <c r="D10" s="269"/>
      <c r="E10" s="757"/>
      <c r="F10" s="544">
        <v>237.92</v>
      </c>
      <c r="G10" s="757">
        <v>355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1274</v>
      </c>
      <c r="D11" s="269"/>
      <c r="E11" s="757"/>
      <c r="F11" s="544">
        <v>62.43</v>
      </c>
      <c r="G11" s="757">
        <v>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1274</v>
      </c>
      <c r="D12" s="269"/>
      <c r="E12" s="757"/>
      <c r="F12" s="544">
        <v>54.78</v>
      </c>
      <c r="G12" s="757">
        <v>16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1281</v>
      </c>
      <c r="D14" s="269"/>
      <c r="E14" s="757"/>
      <c r="F14" s="544">
        <v>98.71</v>
      </c>
      <c r="G14" s="757">
        <v>97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1281</v>
      </c>
      <c r="D15" s="269"/>
      <c r="E15" s="757"/>
      <c r="F15" s="544">
        <v>392.96</v>
      </c>
      <c r="G15" s="757">
        <v>644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1281</v>
      </c>
      <c r="D16" s="269"/>
      <c r="E16" s="757"/>
      <c r="F16" s="544">
        <v>94.82</v>
      </c>
      <c r="G16" s="757">
        <v>110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1281</v>
      </c>
      <c r="D17" s="269"/>
      <c r="E17" s="757"/>
      <c r="F17" s="544">
        <v>95.58</v>
      </c>
      <c r="G17" s="757">
        <v>86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1290</v>
      </c>
      <c r="D19" s="618">
        <v>25.82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1290</v>
      </c>
      <c r="D20" s="618">
        <v>181.41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1290</v>
      </c>
      <c r="D21" s="618">
        <v>713.1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1285</v>
      </c>
      <c r="D22" s="618">
        <v>79.05</v>
      </c>
      <c r="E22" s="754">
        <v>1073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1290</v>
      </c>
      <c r="D23" s="618">
        <v>14.38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1281</v>
      </c>
      <c r="D24" s="618">
        <v>88.03</v>
      </c>
      <c r="E24" s="754">
        <v>1210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1281</v>
      </c>
      <c r="D25" s="618">
        <v>4372.49</v>
      </c>
      <c r="E25" s="754">
        <v>75500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1290</v>
      </c>
      <c r="D26" s="618">
        <v>219.42</v>
      </c>
      <c r="E26" s="754">
        <v>1796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1281</v>
      </c>
      <c r="D27" s="618">
        <v>27.54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1287</v>
      </c>
      <c r="D28" s="618">
        <v>86.14</v>
      </c>
      <c r="E28" s="754">
        <v>1360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1290</v>
      </c>
      <c r="D29" s="618">
        <v>407.48</v>
      </c>
      <c r="E29" s="754">
        <v>4880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1287</v>
      </c>
      <c r="D30" s="618">
        <v>760.76</v>
      </c>
      <c r="E30" s="754">
        <v>12118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1290</v>
      </c>
      <c r="D31" s="618">
        <v>1058.8399999999999</v>
      </c>
      <c r="E31" s="754">
        <v>14640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1290</v>
      </c>
      <c r="D32" s="618">
        <v>13.59</v>
      </c>
      <c r="E32" s="754">
        <v>8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1290</v>
      </c>
      <c r="D33" s="618">
        <v>19.399999999999999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870</v>
      </c>
      <c r="B34" s="686">
        <v>5216006456</v>
      </c>
      <c r="C34" s="546" t="s">
        <v>1288</v>
      </c>
      <c r="D34" s="618">
        <v>286.2</v>
      </c>
      <c r="E34" s="754">
        <v>3180</v>
      </c>
      <c r="F34" s="548"/>
      <c r="G34" s="754"/>
      <c r="H34" s="618"/>
      <c r="I34" s="754"/>
      <c r="J34" s="546"/>
      <c r="K34" s="546" t="s">
        <v>793</v>
      </c>
      <c r="L34" s="546">
        <v>5216006456</v>
      </c>
    </row>
    <row r="35" spans="1:12" s="619" customFormat="1" ht="15.75" x14ac:dyDescent="0.25">
      <c r="A35" s="686" t="s">
        <v>851</v>
      </c>
      <c r="B35" s="686">
        <v>5216006457</v>
      </c>
      <c r="C35" s="546" t="s">
        <v>1288</v>
      </c>
      <c r="D35" s="618">
        <v>40.5</v>
      </c>
      <c r="E35" s="754">
        <v>455</v>
      </c>
      <c r="F35" s="548"/>
      <c r="G35" s="754"/>
      <c r="H35" s="618"/>
      <c r="I35" s="754"/>
      <c r="J35" s="546"/>
      <c r="K35" s="546" t="s">
        <v>794</v>
      </c>
      <c r="L35" s="546">
        <v>5216006457</v>
      </c>
    </row>
    <row r="36" spans="1:12" s="619" customFormat="1" ht="15.75" x14ac:dyDescent="0.25">
      <c r="A36" s="686" t="s">
        <v>829</v>
      </c>
      <c r="B36" s="686">
        <v>5216006458</v>
      </c>
      <c r="C36" s="546" t="s">
        <v>1281</v>
      </c>
      <c r="D36" s="618">
        <v>304.38</v>
      </c>
      <c r="E36" s="754">
        <v>3441</v>
      </c>
      <c r="F36" s="548"/>
      <c r="G36" s="754"/>
      <c r="H36" s="618"/>
      <c r="I36" s="754"/>
      <c r="J36" s="546"/>
      <c r="K36" s="546" t="s">
        <v>795</v>
      </c>
      <c r="L36" s="546">
        <v>5216006458</v>
      </c>
    </row>
    <row r="37" spans="1:12" s="619" customFormat="1" ht="15.75" x14ac:dyDescent="0.25">
      <c r="A37" s="686" t="s">
        <v>850</v>
      </c>
      <c r="B37" s="686">
        <v>5216006459</v>
      </c>
      <c r="C37" s="546" t="s">
        <v>1287</v>
      </c>
      <c r="D37" s="618">
        <v>45.07</v>
      </c>
      <c r="E37" s="754">
        <v>0</v>
      </c>
      <c r="F37" s="548"/>
      <c r="G37" s="754"/>
      <c r="H37" s="618"/>
      <c r="I37" s="754"/>
      <c r="J37" s="546"/>
      <c r="K37" s="546" t="s">
        <v>796</v>
      </c>
      <c r="L37" s="546">
        <v>5216006459</v>
      </c>
    </row>
    <row r="38" spans="1:12" s="619" customFormat="1" ht="15.75" x14ac:dyDescent="0.25">
      <c r="A38" s="686" t="s">
        <v>848</v>
      </c>
      <c r="B38" s="686">
        <v>5216006460</v>
      </c>
      <c r="C38" s="546" t="s">
        <v>1287</v>
      </c>
      <c r="D38" s="618">
        <v>20.260000000000002</v>
      </c>
      <c r="E38" s="754">
        <v>150</v>
      </c>
      <c r="F38" s="548"/>
      <c r="G38" s="754"/>
      <c r="H38" s="618"/>
      <c r="I38" s="754"/>
      <c r="J38" s="546"/>
      <c r="K38" s="546" t="s">
        <v>797</v>
      </c>
      <c r="L38" s="546">
        <v>5216006460</v>
      </c>
    </row>
    <row r="39" spans="1:12" s="619" customFormat="1" ht="15.75" x14ac:dyDescent="0.25">
      <c r="A39" s="686" t="s">
        <v>874</v>
      </c>
      <c r="B39" s="686">
        <v>5216006461</v>
      </c>
      <c r="C39" s="546"/>
      <c r="D39" s="618">
        <v>65.11</v>
      </c>
      <c r="E39" s="754">
        <v>879</v>
      </c>
      <c r="F39" s="548"/>
      <c r="G39" s="754"/>
      <c r="H39" s="618"/>
      <c r="I39" s="754"/>
      <c r="J39" s="546"/>
      <c r="K39" s="546" t="s">
        <v>798</v>
      </c>
      <c r="L39" s="546">
        <v>5216006461</v>
      </c>
    </row>
    <row r="40" spans="1:12" s="619" customFormat="1" ht="15.75" x14ac:dyDescent="0.25">
      <c r="A40" s="686" t="s">
        <v>847</v>
      </c>
      <c r="B40" s="686">
        <v>5216007172</v>
      </c>
      <c r="C40" s="546" t="s">
        <v>1285</v>
      </c>
      <c r="D40" s="618">
        <v>16.63</v>
      </c>
      <c r="E40" s="754">
        <v>57</v>
      </c>
      <c r="F40" s="548"/>
      <c r="G40" s="754"/>
      <c r="H40" s="618"/>
      <c r="I40" s="754"/>
      <c r="J40" s="546"/>
      <c r="K40" s="546" t="s">
        <v>799</v>
      </c>
      <c r="L40" s="546">
        <v>5216006462</v>
      </c>
    </row>
    <row r="41" spans="1:12" s="619" customFormat="1" ht="15.75" x14ac:dyDescent="0.25">
      <c r="A41" s="686" t="s">
        <v>836</v>
      </c>
      <c r="B41" s="686">
        <v>5216006464</v>
      </c>
      <c r="C41" s="546" t="s">
        <v>1290</v>
      </c>
      <c r="D41" s="618">
        <v>29.6</v>
      </c>
      <c r="E41" s="754">
        <v>70</v>
      </c>
      <c r="F41" s="548"/>
      <c r="G41" s="754"/>
      <c r="H41" s="618"/>
      <c r="I41" s="754"/>
      <c r="J41" s="546"/>
      <c r="K41" s="546" t="s">
        <v>801</v>
      </c>
      <c r="L41" s="546">
        <v>5216006464</v>
      </c>
    </row>
    <row r="42" spans="1:12" s="619" customFormat="1" ht="15.75" x14ac:dyDescent="0.25">
      <c r="A42" s="686" t="s">
        <v>837</v>
      </c>
      <c r="B42" s="686">
        <v>5216006465</v>
      </c>
      <c r="C42" s="546" t="s">
        <v>1290</v>
      </c>
      <c r="D42" s="618">
        <v>35.520000000000003</v>
      </c>
      <c r="E42" s="754">
        <v>80</v>
      </c>
      <c r="F42" s="548"/>
      <c r="G42" s="754"/>
      <c r="H42" s="618"/>
      <c r="I42" s="754"/>
      <c r="J42" s="546"/>
      <c r="K42" s="546" t="s">
        <v>802</v>
      </c>
      <c r="L42" s="546">
        <v>5216006465</v>
      </c>
    </row>
    <row r="43" spans="1:12" s="619" customFormat="1" ht="15.75" x14ac:dyDescent="0.25">
      <c r="A43" s="686" t="s">
        <v>869</v>
      </c>
      <c r="B43" s="686">
        <v>5216006466</v>
      </c>
      <c r="C43" s="546" t="s">
        <v>1281</v>
      </c>
      <c r="D43" s="618">
        <v>26.24</v>
      </c>
      <c r="E43" s="754">
        <v>0</v>
      </c>
      <c r="F43" s="548"/>
      <c r="G43" s="754"/>
      <c r="H43" s="618"/>
      <c r="I43" s="754"/>
      <c r="J43" s="546"/>
      <c r="K43" s="546" t="s">
        <v>803</v>
      </c>
      <c r="L43" s="546">
        <v>5216006466</v>
      </c>
    </row>
    <row r="44" spans="1:12" s="619" customFormat="1" ht="15.75" x14ac:dyDescent="0.25">
      <c r="A44" s="686" t="s">
        <v>868</v>
      </c>
      <c r="B44" s="686">
        <v>5216006467</v>
      </c>
      <c r="C44" s="546" t="s">
        <v>1288</v>
      </c>
      <c r="D44" s="618">
        <v>273.18</v>
      </c>
      <c r="E44" s="754">
        <v>2776</v>
      </c>
      <c r="F44" s="548"/>
      <c r="G44" s="754"/>
      <c r="H44" s="618"/>
      <c r="I44" s="754"/>
      <c r="J44" s="546"/>
      <c r="K44" s="546" t="s">
        <v>804</v>
      </c>
      <c r="L44" s="546">
        <v>5216006467</v>
      </c>
    </row>
    <row r="45" spans="1:12" s="619" customFormat="1" ht="17.25" customHeight="1" x14ac:dyDescent="0.25">
      <c r="A45" s="686" t="s">
        <v>832</v>
      </c>
      <c r="B45" s="686">
        <v>5216006468</v>
      </c>
      <c r="C45" s="546" t="s">
        <v>1290</v>
      </c>
      <c r="D45" s="618">
        <v>296.02</v>
      </c>
      <c r="E45" s="754">
        <v>1950</v>
      </c>
      <c r="F45" s="548"/>
      <c r="G45" s="754"/>
      <c r="H45" s="618"/>
      <c r="I45" s="754"/>
      <c r="J45" s="546"/>
      <c r="K45" s="546" t="s">
        <v>805</v>
      </c>
      <c r="L45" s="546">
        <v>5216006468</v>
      </c>
    </row>
    <row r="46" spans="1:12" s="619" customFormat="1" ht="15.75" x14ac:dyDescent="0.25">
      <c r="A46" s="686" t="s">
        <v>833</v>
      </c>
      <c r="B46" s="686">
        <v>5216006469</v>
      </c>
      <c r="C46" s="546" t="s">
        <v>1290</v>
      </c>
      <c r="D46" s="618">
        <v>227.94</v>
      </c>
      <c r="E46" s="754">
        <v>980</v>
      </c>
      <c r="F46" s="548"/>
      <c r="G46" s="754"/>
      <c r="H46" s="618"/>
      <c r="I46" s="754"/>
      <c r="J46" s="546"/>
      <c r="K46" s="546" t="s">
        <v>806</v>
      </c>
      <c r="L46" s="546">
        <v>5216006469</v>
      </c>
    </row>
    <row r="47" spans="1:12" s="619" customFormat="1" ht="15.75" x14ac:dyDescent="0.25">
      <c r="A47" s="686" t="s">
        <v>976</v>
      </c>
      <c r="B47" s="686">
        <v>5216006470</v>
      </c>
      <c r="C47" s="546" t="s">
        <v>1290</v>
      </c>
      <c r="D47" s="618">
        <v>907.05</v>
      </c>
      <c r="E47" s="754">
        <v>10920</v>
      </c>
      <c r="F47" s="548"/>
      <c r="G47" s="754"/>
      <c r="H47" s="618"/>
      <c r="I47" s="754"/>
      <c r="J47" s="546"/>
      <c r="K47" s="546"/>
      <c r="L47" s="546"/>
    </row>
    <row r="48" spans="1:12" s="619" customFormat="1" ht="15.75" x14ac:dyDescent="0.25">
      <c r="A48" s="686" t="s">
        <v>852</v>
      </c>
      <c r="B48" s="686">
        <v>5216006471</v>
      </c>
      <c r="C48" s="546" t="s">
        <v>1288</v>
      </c>
      <c r="D48" s="618">
        <v>20.260000000000002</v>
      </c>
      <c r="E48" s="754">
        <v>150</v>
      </c>
      <c r="F48" s="548"/>
      <c r="G48" s="754"/>
      <c r="H48" s="618"/>
      <c r="I48" s="754"/>
      <c r="J48" s="546"/>
      <c r="K48" s="546" t="s">
        <v>808</v>
      </c>
      <c r="L48" s="546">
        <v>5216006471</v>
      </c>
    </row>
    <row r="49" spans="1:12" s="619" customFormat="1" ht="15.75" x14ac:dyDescent="0.25">
      <c r="A49" s="686" t="s">
        <v>867</v>
      </c>
      <c r="B49" s="686">
        <v>5216006472</v>
      </c>
      <c r="C49" s="546" t="s">
        <v>1287</v>
      </c>
      <c r="D49" s="618">
        <v>24.68</v>
      </c>
      <c r="E49" s="754">
        <v>160</v>
      </c>
      <c r="F49" s="548"/>
      <c r="G49" s="754"/>
      <c r="H49" s="618"/>
      <c r="I49" s="754"/>
      <c r="J49" s="546"/>
      <c r="K49" s="546" t="s">
        <v>809</v>
      </c>
      <c r="L49" s="546">
        <v>5216006472</v>
      </c>
    </row>
    <row r="50" spans="1:12" s="619" customFormat="1" ht="15.75" x14ac:dyDescent="0.25">
      <c r="A50" s="686" t="s">
        <v>840</v>
      </c>
      <c r="B50" s="686">
        <v>5216006473</v>
      </c>
      <c r="C50" s="546" t="s">
        <v>1284</v>
      </c>
      <c r="D50" s="618">
        <v>104.53</v>
      </c>
      <c r="E50" s="754">
        <v>1338</v>
      </c>
      <c r="F50" s="548"/>
      <c r="G50" s="754"/>
      <c r="H50" s="618"/>
      <c r="I50" s="754"/>
      <c r="J50" s="546"/>
      <c r="K50" s="546" t="s">
        <v>810</v>
      </c>
      <c r="L50" s="546">
        <v>5216006473</v>
      </c>
    </row>
    <row r="51" spans="1:12" s="619" customFormat="1" ht="15.75" x14ac:dyDescent="0.25">
      <c r="A51" s="686" t="s">
        <v>839</v>
      </c>
      <c r="B51" s="686">
        <v>5216006474</v>
      </c>
      <c r="C51" s="546" t="s">
        <v>1288</v>
      </c>
      <c r="D51" s="618">
        <v>32.79</v>
      </c>
      <c r="E51" s="754">
        <v>327</v>
      </c>
      <c r="F51" s="548"/>
      <c r="G51" s="754"/>
      <c r="H51" s="618"/>
      <c r="I51" s="754"/>
      <c r="J51" s="546"/>
      <c r="K51" s="546" t="s">
        <v>811</v>
      </c>
      <c r="L51" s="546">
        <v>5216006474</v>
      </c>
    </row>
    <row r="52" spans="1:12" s="619" customFormat="1" ht="15.75" x14ac:dyDescent="0.25">
      <c r="A52" s="686" t="s">
        <v>841</v>
      </c>
      <c r="B52" s="686">
        <v>5216006475</v>
      </c>
      <c r="C52" s="546" t="s">
        <v>1290</v>
      </c>
      <c r="D52" s="618">
        <v>19.399999999999999</v>
      </c>
      <c r="E52" s="754">
        <v>150</v>
      </c>
      <c r="F52" s="548"/>
      <c r="G52" s="754"/>
      <c r="H52" s="618"/>
      <c r="I52" s="754"/>
      <c r="J52" s="546"/>
      <c r="K52" s="546" t="s">
        <v>812</v>
      </c>
      <c r="L52" s="546">
        <v>5216006475</v>
      </c>
    </row>
    <row r="53" spans="1:12" s="619" customFormat="1" ht="15.75" x14ac:dyDescent="0.25">
      <c r="A53" s="686" t="s">
        <v>846</v>
      </c>
      <c r="B53" s="686">
        <v>5074402</v>
      </c>
      <c r="C53" s="546"/>
      <c r="D53" s="618"/>
      <c r="E53" s="754"/>
      <c r="F53" s="548"/>
      <c r="G53" s="754"/>
      <c r="H53" s="618"/>
      <c r="I53" s="754"/>
      <c r="J53" s="546"/>
      <c r="K53" s="546" t="s">
        <v>813</v>
      </c>
      <c r="L53" s="546">
        <v>5216006476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1287</v>
      </c>
      <c r="D54" s="618">
        <v>42.33</v>
      </c>
      <c r="E54" s="754">
        <v>60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1286</v>
      </c>
      <c r="D55" s="618">
        <v>48.33</v>
      </c>
      <c r="E55" s="754">
        <v>1522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1285</v>
      </c>
      <c r="D56" s="618">
        <v>96.47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1288</v>
      </c>
      <c r="D57" s="618">
        <v>698.66</v>
      </c>
      <c r="E57" s="754">
        <v>9360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1287</v>
      </c>
      <c r="D58" s="618">
        <v>154.55000000000001</v>
      </c>
      <c r="E58" s="754">
        <v>1480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/>
      <c r="D59" s="618">
        <v>31.22</v>
      </c>
      <c r="E59" s="754">
        <v>140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1287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1290</v>
      </c>
      <c r="D61" s="618">
        <v>320.97000000000003</v>
      </c>
      <c r="E61" s="754">
        <v>3419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1290</v>
      </c>
      <c r="D62" s="618">
        <v>22.49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1285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1290</v>
      </c>
      <c r="D64" s="618">
        <v>877.79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1281</v>
      </c>
      <c r="D65" s="618">
        <v>92.02</v>
      </c>
      <c r="E65" s="754">
        <v>1310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1281</v>
      </c>
      <c r="D66" s="618">
        <v>72.75</v>
      </c>
      <c r="E66" s="754">
        <v>990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1278</v>
      </c>
      <c r="D68" s="269">
        <v>170</v>
      </c>
      <c r="E68" s="757">
        <v>1595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1278</v>
      </c>
      <c r="D69" s="269">
        <v>176</v>
      </c>
      <c r="E69" s="757">
        <v>429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1278</v>
      </c>
      <c r="D70" s="269">
        <v>107.3</v>
      </c>
      <c r="E70" s="757">
        <v>644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1278</v>
      </c>
      <c r="D71" s="269">
        <v>39</v>
      </c>
      <c r="E71" s="757">
        <v>97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1278</v>
      </c>
      <c r="D72" s="269">
        <v>37</v>
      </c>
      <c r="E72" s="757">
        <v>75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1278</v>
      </c>
      <c r="D73" s="269">
        <v>276</v>
      </c>
      <c r="E73" s="757">
        <v>2577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1278</v>
      </c>
      <c r="D74" s="269">
        <v>179</v>
      </c>
      <c r="E74" s="757">
        <v>1795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1278</v>
      </c>
      <c r="D75" s="269">
        <v>60</v>
      </c>
      <c r="E75" s="757">
        <v>341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1278</v>
      </c>
      <c r="D76" s="269">
        <v>57</v>
      </c>
      <c r="E76" s="757">
        <v>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1278</v>
      </c>
      <c r="D77" s="269">
        <v>31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1278</v>
      </c>
      <c r="D78" s="269">
        <v>34</v>
      </c>
      <c r="E78" s="757">
        <v>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1278</v>
      </c>
      <c r="D79" s="269">
        <v>52.01</v>
      </c>
      <c r="E79" s="757">
        <v>23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1332</v>
      </c>
      <c r="B80" s="762" t="s">
        <v>201</v>
      </c>
      <c r="C80" s="327" t="s">
        <v>1278</v>
      </c>
      <c r="D80" s="328">
        <v>87</v>
      </c>
      <c r="E80" s="763">
        <v>472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1278</v>
      </c>
      <c r="D81" s="269">
        <v>1661</v>
      </c>
      <c r="E81" s="757">
        <v>15480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1278</v>
      </c>
      <c r="D82" s="269">
        <v>41</v>
      </c>
      <c r="E82" s="757">
        <v>38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1278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1278</v>
      </c>
      <c r="D84" s="269">
        <v>30</v>
      </c>
      <c r="E84" s="757">
        <v>27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1278</v>
      </c>
      <c r="D85" s="269">
        <v>47</v>
      </c>
      <c r="E85" s="757">
        <v>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1278</v>
      </c>
      <c r="D86" s="269">
        <v>349</v>
      </c>
      <c r="E86" s="757">
        <v>1200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1278</v>
      </c>
      <c r="D87" s="269">
        <v>401</v>
      </c>
      <c r="E87" s="757">
        <v>132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1278</v>
      </c>
      <c r="D88" s="674">
        <v>264</v>
      </c>
      <c r="E88" s="771" t="s">
        <v>1279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1278</v>
      </c>
      <c r="D89" s="269">
        <v>152</v>
      </c>
      <c r="E89" s="757">
        <v>370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1278</v>
      </c>
      <c r="D90" s="269">
        <v>50</v>
      </c>
      <c r="E90" s="757">
        <v>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1278</v>
      </c>
      <c r="D91" s="269">
        <v>86</v>
      </c>
      <c r="E91" s="757">
        <v>430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1278</v>
      </c>
      <c r="D92" s="269">
        <v>69</v>
      </c>
      <c r="E92" s="757">
        <v>439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1278</v>
      </c>
      <c r="D93" s="269">
        <v>1590</v>
      </c>
      <c r="E93" s="757">
        <v>20520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1278</v>
      </c>
      <c r="D94" s="269">
        <v>50</v>
      </c>
      <c r="E94" s="757">
        <v>184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1278</v>
      </c>
      <c r="D95" s="269">
        <v>337</v>
      </c>
      <c r="E95" s="757">
        <v>1200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1280</v>
      </c>
      <c r="D97" s="269"/>
      <c r="E97" s="757"/>
      <c r="F97" s="544"/>
      <c r="G97" s="757"/>
      <c r="H97" s="269">
        <v>145.82</v>
      </c>
      <c r="I97" s="757">
        <v>207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1280</v>
      </c>
      <c r="D98" s="269"/>
      <c r="E98" s="757"/>
      <c r="F98" s="544"/>
      <c r="G98" s="757"/>
      <c r="H98" s="269">
        <v>152.31</v>
      </c>
      <c r="I98" s="757">
        <v>217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1280</v>
      </c>
      <c r="D99" s="269"/>
      <c r="E99" s="757"/>
      <c r="F99" s="544"/>
      <c r="G99" s="757"/>
      <c r="H99" s="269">
        <v>33.659999999999997</v>
      </c>
      <c r="I99" s="757">
        <v>14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1280</v>
      </c>
      <c r="D100" s="269"/>
      <c r="E100" s="757"/>
      <c r="F100" s="544"/>
      <c r="G100" s="757"/>
      <c r="H100" s="269">
        <v>39</v>
      </c>
      <c r="I100" s="757">
        <v>30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1280</v>
      </c>
      <c r="D101" s="269"/>
      <c r="E101" s="757"/>
      <c r="F101" s="544"/>
      <c r="G101" s="757"/>
      <c r="H101" s="269">
        <v>38.47</v>
      </c>
      <c r="I101" s="757">
        <v>29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1280</v>
      </c>
      <c r="D102" s="269"/>
      <c r="E102" s="757"/>
      <c r="F102" s="544"/>
      <c r="G102" s="757"/>
      <c r="H102" s="269">
        <v>33.659999999999997</v>
      </c>
      <c r="I102" s="757">
        <v>1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1280</v>
      </c>
      <c r="D103" s="269"/>
      <c r="E103" s="757"/>
      <c r="F103" s="544"/>
      <c r="G103" s="757"/>
      <c r="H103" s="269">
        <v>38.47</v>
      </c>
      <c r="I103" s="757">
        <v>29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1280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1280</v>
      </c>
      <c r="D105" s="269"/>
      <c r="E105" s="757"/>
      <c r="F105" s="544"/>
      <c r="G105" s="757"/>
      <c r="H105" s="269">
        <v>33.659999999999997</v>
      </c>
      <c r="I105" s="757">
        <v>6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1280</v>
      </c>
      <c r="D106" s="269"/>
      <c r="E106" s="757"/>
      <c r="F106" s="544"/>
      <c r="G106" s="757"/>
      <c r="H106" s="269">
        <v>33.659999999999997</v>
      </c>
      <c r="I106" s="757">
        <v>10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1280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1280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1280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1280</v>
      </c>
      <c r="D110" s="269"/>
      <c r="E110" s="757"/>
      <c r="F110" s="544"/>
      <c r="G110" s="757"/>
      <c r="H110" s="269">
        <v>33.659999999999997</v>
      </c>
      <c r="I110" s="757">
        <v>5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1280</v>
      </c>
      <c r="D111" s="269"/>
      <c r="E111" s="757"/>
      <c r="F111" s="544"/>
      <c r="G111" s="757"/>
      <c r="H111" s="269">
        <v>33.659999999999997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1280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1280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1280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1280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1280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1280</v>
      </c>
      <c r="D117" s="269"/>
      <c r="E117" s="757"/>
      <c r="F117" s="544"/>
      <c r="G117" s="757"/>
      <c r="H117" s="269">
        <v>33.659999999999997</v>
      </c>
      <c r="I117" s="757">
        <v>7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1280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1280</v>
      </c>
      <c r="D119" s="269"/>
      <c r="E119" s="757"/>
      <c r="F119" s="544"/>
      <c r="G119" s="757"/>
      <c r="H119" s="269">
        <v>33.659999999999997</v>
      </c>
      <c r="I119" s="757">
        <v>10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1280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1280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1280</v>
      </c>
      <c r="D122" s="269"/>
      <c r="E122" s="757"/>
      <c r="F122" s="544"/>
      <c r="G122" s="757"/>
      <c r="H122" s="269">
        <v>51.48</v>
      </c>
      <c r="I122" s="757">
        <v>3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1280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1280</v>
      </c>
      <c r="D124" s="269"/>
      <c r="E124" s="757"/>
      <c r="F124" s="544"/>
      <c r="G124" s="757"/>
      <c r="H124" s="269">
        <v>50.49</v>
      </c>
      <c r="I124" s="757">
        <v>1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1280</v>
      </c>
      <c r="D125" s="269"/>
      <c r="E125" s="757"/>
      <c r="F125" s="544"/>
      <c r="G125" s="757"/>
      <c r="H125" s="269">
        <v>41.67</v>
      </c>
      <c r="I125" s="757">
        <v>35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1280</v>
      </c>
      <c r="D126" s="269"/>
      <c r="E126" s="757"/>
      <c r="F126" s="544"/>
      <c r="G126" s="757"/>
      <c r="H126" s="269">
        <v>33.659999999999997</v>
      </c>
      <c r="I126" s="757">
        <v>13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/>
      <c r="D127" s="269"/>
      <c r="E127" s="757"/>
      <c r="F127" s="544"/>
      <c r="G127" s="757"/>
      <c r="H127" s="269"/>
      <c r="I127" s="757"/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89" t="s">
        <v>1293</v>
      </c>
      <c r="D128" s="269"/>
      <c r="E128" s="757"/>
      <c r="F128" s="544"/>
      <c r="G128" s="757"/>
      <c r="H128" s="269">
        <v>40.07</v>
      </c>
      <c r="I128" s="757">
        <v>32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89">
        <v>43414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89">
        <v>43414</v>
      </c>
      <c r="D131" s="269"/>
      <c r="E131" s="757"/>
      <c r="F131" s="544"/>
      <c r="G131" s="757"/>
      <c r="H131" s="269">
        <v>64.63</v>
      </c>
      <c r="I131" s="757">
        <v>78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89">
        <v>43414</v>
      </c>
      <c r="D132" s="269"/>
      <c r="E132" s="757"/>
      <c r="F132" s="544"/>
      <c r="G132" s="757"/>
      <c r="H132" s="269">
        <v>1636.13</v>
      </c>
      <c r="I132" s="757">
        <v>2173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89">
        <v>43414</v>
      </c>
      <c r="D133" s="269"/>
      <c r="E133" s="757"/>
      <c r="F133" s="544"/>
      <c r="G133" s="757"/>
      <c r="H133" s="269">
        <v>33.659999999999997</v>
      </c>
      <c r="I133" s="757">
        <v>2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89">
        <v>43414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>
        <v>43414</v>
      </c>
      <c r="D135" s="269"/>
      <c r="E135" s="757"/>
      <c r="F135" s="544"/>
      <c r="G135" s="757"/>
      <c r="H135" s="269">
        <v>33.659999999999997</v>
      </c>
      <c r="I135" s="757">
        <v>11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89">
        <v>43414</v>
      </c>
      <c r="D136" s="269"/>
      <c r="E136" s="757"/>
      <c r="F136" s="544"/>
      <c r="G136" s="757"/>
      <c r="H136" s="269">
        <v>160.1</v>
      </c>
      <c r="I136" s="757">
        <v>229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89">
        <v>43414</v>
      </c>
      <c r="D137" s="269"/>
      <c r="E137" s="757"/>
      <c r="F137" s="544"/>
      <c r="G137" s="757"/>
      <c r="H137" s="269">
        <v>239.48</v>
      </c>
      <c r="I137" s="757">
        <v>343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1280</v>
      </c>
      <c r="D140" s="269"/>
      <c r="E140" s="757"/>
      <c r="F140" s="544"/>
      <c r="G140" s="757"/>
      <c r="H140" s="269">
        <v>50</v>
      </c>
      <c r="I140" s="757" t="s">
        <v>1282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1283</v>
      </c>
      <c r="D145" s="269"/>
      <c r="E145" s="757"/>
      <c r="F145" s="544"/>
      <c r="G145" s="757"/>
      <c r="H145" s="269">
        <v>20</v>
      </c>
      <c r="I145" s="757">
        <v>800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6" sqref="C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1275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98"/>
      <c r="B4" s="799"/>
      <c r="C4" s="799"/>
      <c r="D4" s="799"/>
      <c r="E4" s="799"/>
      <c r="F4" s="799"/>
      <c r="G4" s="80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201018</v>
      </c>
      <c r="D13" s="34"/>
      <c r="E13" s="35" t="s">
        <v>33</v>
      </c>
      <c r="F13" s="34"/>
      <c r="G13" s="42">
        <v>19431.5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2208</v>
      </c>
      <c r="D15" s="34"/>
      <c r="E15" s="35" t="s">
        <v>10</v>
      </c>
      <c r="F15" s="34"/>
      <c r="G15" s="42">
        <v>2949.92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67686</v>
      </c>
      <c r="D17" s="34"/>
      <c r="E17" s="35" t="s">
        <v>278</v>
      </c>
      <c r="F17" s="34"/>
      <c r="G17" s="42">
        <v>4422.01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5" activePane="bottomLeft" state="frozen"/>
      <selection pane="bottomLeft" activeCell="D19" sqref="D1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1254</v>
      </c>
      <c r="D3" s="328"/>
      <c r="E3" s="763"/>
      <c r="F3" s="620">
        <v>1724.86</v>
      </c>
      <c r="G3" s="763">
        <v>1116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1255</v>
      </c>
      <c r="D4" s="269"/>
      <c r="E4" s="757"/>
      <c r="F4" s="544">
        <v>116.61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1257</v>
      </c>
      <c r="D5" s="328"/>
      <c r="E5" s="763"/>
      <c r="F5" s="620">
        <v>97.75</v>
      </c>
      <c r="G5" s="763">
        <v>93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1258</v>
      </c>
      <c r="D6" s="269"/>
      <c r="E6" s="757"/>
      <c r="F6" s="544">
        <v>136.58000000000001</v>
      </c>
      <c r="G6" s="757">
        <v>163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1257</v>
      </c>
      <c r="D7" s="269"/>
      <c r="E7" s="757"/>
      <c r="F7" s="544">
        <v>48.98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1254</v>
      </c>
      <c r="D8" s="269"/>
      <c r="E8" s="757"/>
      <c r="F8" s="544">
        <v>47.01</v>
      </c>
      <c r="G8" s="757">
        <v>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1256</v>
      </c>
      <c r="D9" s="269"/>
      <c r="E9" s="757"/>
      <c r="F9" s="544">
        <v>158.75</v>
      </c>
      <c r="G9" s="757">
        <v>203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1256</v>
      </c>
      <c r="D10" s="269"/>
      <c r="E10" s="757"/>
      <c r="F10" s="544">
        <v>111.61</v>
      </c>
      <c r="G10" s="757">
        <v>118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1254</v>
      </c>
      <c r="D11" s="269"/>
      <c r="E11" s="757"/>
      <c r="F11" s="544">
        <v>47.01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1255</v>
      </c>
      <c r="D12" s="269"/>
      <c r="E12" s="757"/>
      <c r="F12" s="544">
        <v>46.72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1255</v>
      </c>
      <c r="D13" s="269"/>
      <c r="E13" s="757"/>
      <c r="F13" s="544">
        <v>89.44</v>
      </c>
      <c r="G13" s="757">
        <v>78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1258</v>
      </c>
      <c r="D14" s="269"/>
      <c r="E14" s="757"/>
      <c r="F14" s="544">
        <v>63.92</v>
      </c>
      <c r="G14" s="757">
        <v>32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1255</v>
      </c>
      <c r="D15" s="269"/>
      <c r="E15" s="757"/>
      <c r="F15" s="544">
        <v>174.84</v>
      </c>
      <c r="G15" s="757">
        <v>232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1264</v>
      </c>
      <c r="D16" s="269"/>
      <c r="E16" s="757"/>
      <c r="F16" s="544">
        <v>35.340000000000003</v>
      </c>
      <c r="G16" s="757">
        <v>24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1264</v>
      </c>
      <c r="D17" s="269"/>
      <c r="E17" s="757"/>
      <c r="F17" s="544">
        <v>50.5</v>
      </c>
      <c r="G17" s="757">
        <v>8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1270</v>
      </c>
      <c r="D19" s="618">
        <v>26.8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1270</v>
      </c>
      <c r="D20" s="618">
        <v>189.22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1270</v>
      </c>
      <c r="D21" s="618">
        <v>768.7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1267</v>
      </c>
      <c r="D22" s="618">
        <v>2.52</v>
      </c>
      <c r="E22" s="754">
        <v>58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1270</v>
      </c>
      <c r="D23" s="618">
        <v>15.22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1265</v>
      </c>
      <c r="D24" s="618">
        <v>99.34</v>
      </c>
      <c r="E24" s="754">
        <v>1271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1265</v>
      </c>
      <c r="D25" s="618">
        <v>4444.34</v>
      </c>
      <c r="E25" s="754">
        <v>74500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1270</v>
      </c>
      <c r="D26" s="618">
        <v>242.32</v>
      </c>
      <c r="E26" s="754">
        <v>2050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1265</v>
      </c>
      <c r="D27" s="618">
        <v>48.03</v>
      </c>
      <c r="E27" s="754">
        <v>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1269</v>
      </c>
      <c r="D28" s="618">
        <v>69.819999999999993</v>
      </c>
      <c r="E28" s="754">
        <v>160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1270</v>
      </c>
      <c r="D29" s="618">
        <v>479.84</v>
      </c>
      <c r="E29" s="754">
        <v>5200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1269</v>
      </c>
      <c r="D30" s="618">
        <v>735.9</v>
      </c>
      <c r="E30" s="754">
        <v>11251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1270</v>
      </c>
      <c r="D31" s="618">
        <v>1035.54</v>
      </c>
      <c r="E31" s="754">
        <v>12720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1270</v>
      </c>
      <c r="D32" s="618">
        <v>13.63</v>
      </c>
      <c r="E32" s="754">
        <v>8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1270</v>
      </c>
      <c r="D33" s="618">
        <v>21.24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1126</v>
      </c>
      <c r="B34" s="686">
        <v>5216006455</v>
      </c>
      <c r="C34" s="546" t="s">
        <v>1266</v>
      </c>
      <c r="D34" s="618">
        <v>21.12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1269</v>
      </c>
      <c r="D35" s="618">
        <v>216.59</v>
      </c>
      <c r="E35" s="754">
        <v>1492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1269</v>
      </c>
      <c r="D36" s="618">
        <v>24.76</v>
      </c>
      <c r="E36" s="754">
        <v>179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1265</v>
      </c>
      <c r="D37" s="618">
        <v>305.39</v>
      </c>
      <c r="E37" s="754">
        <v>3094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1269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1269</v>
      </c>
      <c r="D39" s="618">
        <v>22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1266</v>
      </c>
      <c r="D40" s="618">
        <v>65.95</v>
      </c>
      <c r="E40" s="754">
        <v>811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1267</v>
      </c>
      <c r="D41" s="618">
        <v>16.53</v>
      </c>
      <c r="E41" s="754">
        <v>53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1270</v>
      </c>
      <c r="D42" s="618">
        <v>15.22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1270</v>
      </c>
      <c r="D43" s="618">
        <v>18.25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1265</v>
      </c>
      <c r="D44" s="618">
        <v>26.35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1269</v>
      </c>
      <c r="D45" s="618">
        <v>245.43</v>
      </c>
      <c r="E45" s="754">
        <v>1776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1270</v>
      </c>
      <c r="D46" s="618">
        <v>319.81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1270</v>
      </c>
      <c r="D47" s="618">
        <v>239.89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1270</v>
      </c>
      <c r="D48" s="618">
        <v>1022.63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1269</v>
      </c>
      <c r="D49" s="618">
        <v>22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1269</v>
      </c>
      <c r="D50" s="618">
        <v>26.41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1266</v>
      </c>
      <c r="D51" s="618">
        <v>74.290000000000006</v>
      </c>
      <c r="E51" s="754">
        <v>818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1269</v>
      </c>
      <c r="D52" s="618">
        <v>32.119999999999997</v>
      </c>
      <c r="E52" s="754">
        <v>292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1270</v>
      </c>
      <c r="D53" s="618">
        <v>21.24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1269</v>
      </c>
      <c r="D54" s="618">
        <v>49.44</v>
      </c>
      <c r="E54" s="754">
        <v>52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1268</v>
      </c>
      <c r="D55" s="618">
        <v>119.67</v>
      </c>
      <c r="E55" s="754">
        <v>1253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1267</v>
      </c>
      <c r="D56" s="618">
        <v>104.07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1269</v>
      </c>
      <c r="D57" s="618">
        <v>665.64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1269</v>
      </c>
      <c r="D58" s="618">
        <v>173.31</v>
      </c>
      <c r="E58" s="754">
        <v>1432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1266</v>
      </c>
      <c r="D59" s="618">
        <v>21.41</v>
      </c>
      <c r="E59" s="754">
        <v>127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1269</v>
      </c>
      <c r="D60" s="618">
        <v>14.41</v>
      </c>
      <c r="E60" s="754">
        <v>20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1270</v>
      </c>
      <c r="D61" s="618">
        <v>395.92</v>
      </c>
      <c r="E61" s="754">
        <v>3568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1270</v>
      </c>
      <c r="D62" s="618">
        <v>24.19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1267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1270</v>
      </c>
      <c r="D64" s="618">
        <v>987.53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1265</v>
      </c>
      <c r="D65" s="618">
        <v>60.04</v>
      </c>
      <c r="E65" s="754">
        <v>725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1265</v>
      </c>
      <c r="D66" s="618">
        <v>13.24</v>
      </c>
      <c r="E66" s="754">
        <v>2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1260</v>
      </c>
      <c r="D68" s="269">
        <v>193</v>
      </c>
      <c r="E68" s="757">
        <v>1802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1260</v>
      </c>
      <c r="D69" s="269">
        <v>168</v>
      </c>
      <c r="E69" s="757">
        <v>1303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1260</v>
      </c>
      <c r="D70" s="269">
        <v>100</v>
      </c>
      <c r="E70" s="757">
        <v>547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1260</v>
      </c>
      <c r="D71" s="269">
        <v>39</v>
      </c>
      <c r="E71" s="757">
        <v>93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1260</v>
      </c>
      <c r="D72" s="269">
        <v>37</v>
      </c>
      <c r="E72" s="757">
        <v>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1260</v>
      </c>
      <c r="D73" s="269">
        <v>295</v>
      </c>
      <c r="E73" s="757">
        <v>2714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1260</v>
      </c>
      <c r="D74" s="269">
        <v>101</v>
      </c>
      <c r="E74" s="757">
        <v>873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1260</v>
      </c>
      <c r="D75" s="269">
        <v>64</v>
      </c>
      <c r="E75" s="757">
        <v>377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1260</v>
      </c>
      <c r="D76" s="269">
        <v>58</v>
      </c>
      <c r="E76" s="757">
        <v>85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1260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1260</v>
      </c>
      <c r="D78" s="269">
        <v>89</v>
      </c>
      <c r="E78" s="757">
        <v>648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1260</v>
      </c>
      <c r="D79" s="269">
        <v>50</v>
      </c>
      <c r="E79" s="757">
        <v>0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1332</v>
      </c>
      <c r="B80" s="762" t="s">
        <v>201</v>
      </c>
      <c r="C80" s="327" t="s">
        <v>1260</v>
      </c>
      <c r="D80" s="328">
        <v>70</v>
      </c>
      <c r="E80" s="763">
        <v>262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1260</v>
      </c>
      <c r="D81" s="269">
        <v>1645</v>
      </c>
      <c r="E81" s="757">
        <v>14280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1260</v>
      </c>
      <c r="D82" s="269">
        <v>41</v>
      </c>
      <c r="E82" s="757" t="s">
        <v>1261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1260</v>
      </c>
      <c r="D83" s="269">
        <v>56</v>
      </c>
      <c r="E83" s="757">
        <v>11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1260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1260</v>
      </c>
      <c r="D85" s="269">
        <v>38</v>
      </c>
      <c r="E85" s="757">
        <v>190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1260</v>
      </c>
      <c r="D86" s="269">
        <v>275</v>
      </c>
      <c r="E86" s="757">
        <v>1500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1260</v>
      </c>
      <c r="D87" s="269">
        <v>237</v>
      </c>
      <c r="E87" s="757">
        <v>1680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1259</v>
      </c>
      <c r="D88" s="674">
        <v>269</v>
      </c>
      <c r="E88" s="771">
        <v>17.8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1260</v>
      </c>
      <c r="D89" s="269">
        <v>134</v>
      </c>
      <c r="E89" s="757">
        <v>458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1260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1260</v>
      </c>
      <c r="D91" s="269">
        <v>105</v>
      </c>
      <c r="E91" s="757">
        <v>627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1260</v>
      </c>
      <c r="D92" s="269">
        <v>100</v>
      </c>
      <c r="E92" s="757">
        <v>772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1260</v>
      </c>
      <c r="D93" s="269">
        <v>1150</v>
      </c>
      <c r="E93" s="757">
        <v>9480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1260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1260</v>
      </c>
      <c r="D95" s="269">
        <v>341</v>
      </c>
      <c r="E95" s="757">
        <v>1200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1260</v>
      </c>
      <c r="D97" s="269"/>
      <c r="E97" s="757"/>
      <c r="F97" s="544"/>
      <c r="G97" s="757"/>
      <c r="H97" s="269">
        <v>236.65</v>
      </c>
      <c r="I97" s="757">
        <v>339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1260</v>
      </c>
      <c r="D98" s="269"/>
      <c r="E98" s="757"/>
      <c r="F98" s="544"/>
      <c r="G98" s="757"/>
      <c r="H98" s="269">
        <v>154.91</v>
      </c>
      <c r="I98" s="757">
        <v>221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1260</v>
      </c>
      <c r="D99" s="269"/>
      <c r="E99" s="757"/>
      <c r="F99" s="544"/>
      <c r="G99" s="757"/>
      <c r="H99" s="269">
        <v>33.659999999999997</v>
      </c>
      <c r="I99" s="757">
        <v>13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1260</v>
      </c>
      <c r="D100" s="269"/>
      <c r="E100" s="757"/>
      <c r="F100" s="544"/>
      <c r="G100" s="757"/>
      <c r="H100" s="269">
        <v>40.6</v>
      </c>
      <c r="I100" s="757">
        <v>33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1260</v>
      </c>
      <c r="D101" s="269"/>
      <c r="E101" s="757"/>
      <c r="F101" s="544"/>
      <c r="G101" s="757"/>
      <c r="H101" s="269">
        <v>39</v>
      </c>
      <c r="I101" s="757">
        <v>30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1260</v>
      </c>
      <c r="D102" s="269"/>
      <c r="E102" s="757"/>
      <c r="F102" s="544"/>
      <c r="G102" s="757"/>
      <c r="H102" s="269">
        <v>33.659999999999997</v>
      </c>
      <c r="I102" s="757">
        <v>6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89" t="s">
        <v>1260</v>
      </c>
      <c r="D103" s="269"/>
      <c r="E103" s="757"/>
      <c r="F103" s="544"/>
      <c r="G103" s="757"/>
      <c r="H103" s="269">
        <v>237.14</v>
      </c>
      <c r="I103" s="757">
        <v>339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1260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1260</v>
      </c>
      <c r="D105" s="269"/>
      <c r="E105" s="757"/>
      <c r="F105" s="544"/>
      <c r="G105" s="757"/>
      <c r="H105" s="269">
        <v>37.4</v>
      </c>
      <c r="I105" s="757">
        <v>27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1260</v>
      </c>
      <c r="D106" s="269"/>
      <c r="E106" s="757"/>
      <c r="F106" s="544"/>
      <c r="G106" s="757"/>
      <c r="H106" s="269">
        <v>33.659999999999997</v>
      </c>
      <c r="I106" s="757">
        <v>15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1260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1260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1260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1260</v>
      </c>
      <c r="D110" s="269"/>
      <c r="E110" s="757"/>
      <c r="F110" s="544"/>
      <c r="G110" s="757"/>
      <c r="H110" s="269">
        <v>33.659999999999997</v>
      </c>
      <c r="I110" s="757">
        <v>6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1260</v>
      </c>
      <c r="D111" s="269"/>
      <c r="E111" s="757"/>
      <c r="F111" s="544"/>
      <c r="G111" s="757"/>
      <c r="H111" s="269">
        <v>44.87</v>
      </c>
      <c r="I111" s="757">
        <v>41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1260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1260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1260</v>
      </c>
      <c r="D114" s="269"/>
      <c r="E114" s="757"/>
      <c r="F114" s="544"/>
      <c r="G114" s="757"/>
      <c r="H114" s="269">
        <v>125.7</v>
      </c>
      <c r="I114" s="757">
        <v>176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1260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1260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1260</v>
      </c>
      <c r="D117" s="269"/>
      <c r="E117" s="757"/>
      <c r="F117" s="544"/>
      <c r="G117" s="757"/>
      <c r="H117" s="269">
        <v>33.659999999999997</v>
      </c>
      <c r="I117" s="757">
        <v>3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1260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1260</v>
      </c>
      <c r="D119" s="269"/>
      <c r="E119" s="757"/>
      <c r="F119" s="544"/>
      <c r="G119" s="757"/>
      <c r="H119" s="269">
        <v>33.659999999999997</v>
      </c>
      <c r="I119" s="757">
        <v>14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1260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1260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1260</v>
      </c>
      <c r="D122" s="269"/>
      <c r="E122" s="757"/>
      <c r="F122" s="544"/>
      <c r="G122" s="757"/>
      <c r="H122" s="269">
        <v>51.48</v>
      </c>
      <c r="I122" s="757">
        <v>70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1260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89" t="s">
        <v>1260</v>
      </c>
      <c r="D124" s="269"/>
      <c r="E124" s="757"/>
      <c r="F124" s="544"/>
      <c r="G124" s="757"/>
      <c r="H124" s="269">
        <v>50.49</v>
      </c>
      <c r="I124" s="757">
        <v>44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89" t="s">
        <v>1260</v>
      </c>
      <c r="D125" s="269"/>
      <c r="E125" s="757"/>
      <c r="F125" s="544"/>
      <c r="G125" s="757"/>
      <c r="H125" s="269">
        <v>111.09</v>
      </c>
      <c r="I125" s="757">
        <v>167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1260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89" t="s">
        <v>1260</v>
      </c>
      <c r="D127" s="269"/>
      <c r="E127" s="757"/>
      <c r="F127" s="544"/>
      <c r="G127" s="757"/>
      <c r="H127" s="269">
        <v>98.19</v>
      </c>
      <c r="I127" s="757">
        <v>79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1269</v>
      </c>
      <c r="D128" s="269"/>
      <c r="E128" s="757"/>
      <c r="F128" s="544"/>
      <c r="G128" s="757"/>
      <c r="H128" s="269">
        <v>64.92</v>
      </c>
      <c r="I128" s="757">
        <v>37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1260</v>
      </c>
      <c r="D129" s="269"/>
      <c r="E129" s="757"/>
      <c r="F129" s="544"/>
      <c r="G129" s="757"/>
      <c r="H129" s="269">
        <v>101.56</v>
      </c>
      <c r="I129" s="757">
        <v>111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1269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1269</v>
      </c>
      <c r="D131" s="269"/>
      <c r="E131" s="757"/>
      <c r="F131" s="544"/>
      <c r="G131" s="757"/>
      <c r="H131" s="269">
        <v>83.41</v>
      </c>
      <c r="I131" s="757">
        <v>73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1269</v>
      </c>
      <c r="D132" s="269"/>
      <c r="E132" s="757"/>
      <c r="F132" s="544"/>
      <c r="G132" s="757"/>
      <c r="H132" s="269">
        <v>1624.65</v>
      </c>
      <c r="I132" s="757">
        <v>2158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1269</v>
      </c>
      <c r="D133" s="269"/>
      <c r="E133" s="757"/>
      <c r="F133" s="544"/>
      <c r="G133" s="757"/>
      <c r="H133" s="269">
        <v>33.659999999999997</v>
      </c>
      <c r="I133" s="757">
        <v>1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89" t="s">
        <v>1269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1269</v>
      </c>
      <c r="D135" s="269"/>
      <c r="E135" s="757"/>
      <c r="F135" s="544"/>
      <c r="G135" s="757"/>
      <c r="H135" s="269">
        <v>33.659999999999997</v>
      </c>
      <c r="I135" s="757">
        <v>15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1269</v>
      </c>
      <c r="D136" s="269"/>
      <c r="E136" s="757"/>
      <c r="F136" s="544"/>
      <c r="G136" s="757"/>
      <c r="H136" s="269">
        <v>155.56</v>
      </c>
      <c r="I136" s="757">
        <v>222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1269</v>
      </c>
      <c r="D137" s="269"/>
      <c r="E137" s="757"/>
      <c r="F137" s="544"/>
      <c r="G137" s="757"/>
      <c r="H137" s="269">
        <v>106.88</v>
      </c>
      <c r="I137" s="757">
        <v>147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1269</v>
      </c>
      <c r="D138" s="269"/>
      <c r="E138" s="757"/>
      <c r="F138" s="544"/>
      <c r="G138" s="757"/>
      <c r="H138" s="269">
        <v>78.98</v>
      </c>
      <c r="I138" s="757">
        <v>104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>
        <v>43374</v>
      </c>
      <c r="D140" s="269"/>
      <c r="E140" s="757"/>
      <c r="F140" s="544"/>
      <c r="G140" s="757"/>
      <c r="H140" s="269">
        <v>50</v>
      </c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1260</v>
      </c>
      <c r="D141" s="269"/>
      <c r="E141" s="757"/>
      <c r="F141" s="544"/>
      <c r="G141" s="757"/>
      <c r="H141" s="269">
        <v>57.5</v>
      </c>
      <c r="I141" s="757">
        <v>300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43412</v>
      </c>
      <c r="D143" s="269"/>
      <c r="E143" s="757"/>
      <c r="F143" s="544"/>
      <c r="G143" s="757"/>
      <c r="H143" s="269">
        <v>35.18</v>
      </c>
      <c r="I143" s="757">
        <v>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1262</v>
      </c>
      <c r="D145" s="269"/>
      <c r="E145" s="757"/>
      <c r="F145" s="544"/>
      <c r="G145" s="757"/>
      <c r="H145" s="269">
        <v>21.6</v>
      </c>
      <c r="I145" s="757">
        <v>2200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 t="s">
        <v>1271</v>
      </c>
      <c r="D147" s="269"/>
      <c r="E147" s="757"/>
      <c r="F147" s="544"/>
      <c r="G147" s="757"/>
      <c r="H147" s="269">
        <v>40.07</v>
      </c>
      <c r="I147" s="757">
        <v>60680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 t="s">
        <v>1272</v>
      </c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9" sqref="E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1263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95"/>
      <c r="B4" s="796"/>
      <c r="C4" s="796"/>
      <c r="D4" s="796"/>
      <c r="E4" s="796"/>
      <c r="F4" s="796"/>
      <c r="G4" s="79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133702.96</v>
      </c>
      <c r="D13" s="34"/>
      <c r="E13" s="35" t="s">
        <v>33</v>
      </c>
      <c r="F13" s="34"/>
      <c r="G13" s="42">
        <v>16267.8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1595</v>
      </c>
      <c r="D15" s="34"/>
      <c r="E15" s="35" t="s">
        <v>10</v>
      </c>
      <c r="F15" s="34"/>
      <c r="G15" s="42">
        <v>2552.04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9624</v>
      </c>
      <c r="D17" s="34"/>
      <c r="E17" s="35" t="s">
        <v>278</v>
      </c>
      <c r="F17" s="34"/>
      <c r="G17" s="42">
        <v>6876.52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57" activePane="bottomLeft" state="frozen"/>
      <selection pane="bottomLeft" activeCell="A81" sqref="A8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1254</v>
      </c>
      <c r="D3" s="328"/>
      <c r="E3" s="763"/>
      <c r="F3" s="620">
        <v>1724.86</v>
      </c>
      <c r="G3" s="763">
        <v>1116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1255</v>
      </c>
      <c r="D4" s="269"/>
      <c r="E4" s="757"/>
      <c r="F4" s="544">
        <v>116.61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1237</v>
      </c>
      <c r="D5" s="328"/>
      <c r="E5" s="763"/>
      <c r="F5" s="620">
        <v>55.25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1240</v>
      </c>
      <c r="D6" s="269"/>
      <c r="E6" s="757"/>
      <c r="F6" s="544">
        <v>30.82</v>
      </c>
      <c r="G6" s="757">
        <v>29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1238</v>
      </c>
      <c r="D7" s="269"/>
      <c r="E7" s="757"/>
      <c r="F7" s="544">
        <v>37.56</v>
      </c>
      <c r="G7" s="757">
        <v>55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1238</v>
      </c>
      <c r="D8" s="269"/>
      <c r="E8" s="757"/>
      <c r="F8" s="544">
        <v>65.22</v>
      </c>
      <c r="G8" s="757">
        <v>7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1239</v>
      </c>
      <c r="D9" s="269"/>
      <c r="E9" s="757"/>
      <c r="F9" s="544">
        <v>54.07</v>
      </c>
      <c r="G9" s="757">
        <v>16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44</v>
      </c>
      <c r="B10" s="681">
        <v>3039640691</v>
      </c>
      <c r="C10" s="245" t="s">
        <v>1256</v>
      </c>
      <c r="D10" s="269"/>
      <c r="E10" s="757"/>
      <c r="F10" s="544">
        <v>111.61</v>
      </c>
      <c r="G10" s="757">
        <v>118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1254</v>
      </c>
      <c r="D11" s="269"/>
      <c r="E11" s="757"/>
      <c r="F11" s="544">
        <v>47.01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1239</v>
      </c>
      <c r="D12" s="269"/>
      <c r="E12" s="757"/>
      <c r="F12" s="544">
        <v>44.52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1227</v>
      </c>
      <c r="B13" s="681">
        <v>3034878837</v>
      </c>
      <c r="C13" s="245" t="s">
        <v>1239</v>
      </c>
      <c r="D13" s="269"/>
      <c r="E13" s="757"/>
      <c r="F13" s="544">
        <v>44.52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1240</v>
      </c>
      <c r="D14" s="269"/>
      <c r="E14" s="757"/>
      <c r="F14" s="544">
        <v>51.08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1239</v>
      </c>
      <c r="D15" s="269"/>
      <c r="E15" s="757"/>
      <c r="F15" s="544">
        <v>90.47</v>
      </c>
      <c r="G15" s="757">
        <v>77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1242</v>
      </c>
      <c r="D16" s="269"/>
      <c r="E16" s="757"/>
      <c r="F16" s="544">
        <v>32.28</v>
      </c>
      <c r="G16" s="757">
        <v>18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1242</v>
      </c>
      <c r="D17" s="269"/>
      <c r="E17" s="757"/>
      <c r="F17" s="544">
        <v>46.16</v>
      </c>
      <c r="G17" s="757">
        <v>0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/>
      <c r="D19" s="618"/>
      <c r="E19" s="754"/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/>
      <c r="D20" s="618"/>
      <c r="E20" s="754"/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/>
      <c r="D21" s="618"/>
      <c r="E21" s="754"/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1248</v>
      </c>
      <c r="D22" s="618">
        <v>13.45</v>
      </c>
      <c r="E22" s="754">
        <v>2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1241</v>
      </c>
      <c r="B23" s="686">
        <v>5216006443</v>
      </c>
      <c r="C23" s="546" t="s">
        <v>1235</v>
      </c>
      <c r="D23" s="618">
        <v>15.34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1242</v>
      </c>
      <c r="D24" s="618">
        <v>134.66</v>
      </c>
      <c r="E24" s="754">
        <v>1729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/>
      <c r="D25" s="618"/>
      <c r="E25" s="754"/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/>
      <c r="D26" s="618"/>
      <c r="E26" s="754"/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1242</v>
      </c>
      <c r="D27" s="618">
        <v>466.9</v>
      </c>
      <c r="E27" s="754">
        <v>1200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/>
      <c r="D28" s="618"/>
      <c r="E28" s="754"/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767" t="s">
        <v>1235</v>
      </c>
      <c r="D29" s="618">
        <v>1016.79</v>
      </c>
      <c r="E29" s="754">
        <v>11680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/>
      <c r="D30" s="618"/>
      <c r="E30" s="754"/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1235</v>
      </c>
      <c r="D31" s="618">
        <v>1462.04</v>
      </c>
      <c r="E31" s="754">
        <v>18840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/>
      <c r="D32" s="618"/>
      <c r="E32" s="754"/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1235</v>
      </c>
      <c r="D33" s="618">
        <v>21.33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1252</v>
      </c>
      <c r="D34" s="572">
        <v>21.41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1235</v>
      </c>
      <c r="D35" s="618">
        <v>268.11</v>
      </c>
      <c r="E35" s="754">
        <v>2545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1235</v>
      </c>
      <c r="D36" s="618">
        <v>138.63999999999999</v>
      </c>
      <c r="E36" s="754">
        <v>1895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1242</v>
      </c>
      <c r="D37" s="618">
        <v>360.3</v>
      </c>
      <c r="E37" s="754">
        <v>4073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/>
      <c r="D38" s="618"/>
      <c r="E38" s="754"/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1235</v>
      </c>
      <c r="D39" s="618">
        <v>22.17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1235</v>
      </c>
      <c r="D40" s="618">
        <v>32.200000000000003</v>
      </c>
      <c r="E40" s="754">
        <v>288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1249</v>
      </c>
      <c r="D41" s="618">
        <v>16.45</v>
      </c>
      <c r="E41" s="754"/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1235</v>
      </c>
      <c r="D42" s="618">
        <v>15.35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1235</v>
      </c>
      <c r="D43" s="618">
        <v>18.420000000000002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1247</v>
      </c>
      <c r="D44" s="618">
        <v>13.22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1235</v>
      </c>
      <c r="D45" s="618">
        <v>242.64</v>
      </c>
      <c r="E45" s="754">
        <v>1985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767">
        <v>43347</v>
      </c>
      <c r="D46" s="618"/>
      <c r="E46" s="754"/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767">
        <v>43350</v>
      </c>
      <c r="D47" s="618">
        <v>17.77</v>
      </c>
      <c r="E47" s="754">
        <v>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1235</v>
      </c>
      <c r="D48" s="618">
        <v>1589.07</v>
      </c>
      <c r="E48" s="754">
        <v>20040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1235</v>
      </c>
      <c r="D49" s="618">
        <v>22.17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767">
        <v>43326</v>
      </c>
      <c r="D50" s="618">
        <v>52.6</v>
      </c>
      <c r="E50" s="754">
        <v>150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1252</v>
      </c>
      <c r="D51" s="618">
        <v>85.51</v>
      </c>
      <c r="E51" s="754">
        <v>958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1235</v>
      </c>
      <c r="D52" s="618">
        <v>319.82</v>
      </c>
      <c r="E52" s="754">
        <v>301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1235</v>
      </c>
      <c r="D53" s="618">
        <v>21.33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767">
        <v>43326</v>
      </c>
      <c r="D54" s="618">
        <v>33.659999999999997</v>
      </c>
      <c r="E54" s="754">
        <v>150</v>
      </c>
      <c r="F54" s="548"/>
      <c r="G54" s="754"/>
      <c r="H54" s="618"/>
      <c r="I54" s="754"/>
      <c r="J54" s="546"/>
      <c r="K54" s="546" t="s">
        <v>813</v>
      </c>
      <c r="L54" s="546">
        <v>5216006476</v>
      </c>
    </row>
    <row r="55" spans="1:12" s="619" customFormat="1" ht="15.75" x14ac:dyDescent="0.25">
      <c r="A55" s="686" t="s">
        <v>845</v>
      </c>
      <c r="B55" s="686">
        <v>5216006477</v>
      </c>
      <c r="C55" s="767">
        <v>43326</v>
      </c>
      <c r="D55" s="618">
        <v>33.659999999999997</v>
      </c>
      <c r="E55" s="754">
        <v>150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1250</v>
      </c>
      <c r="D56" s="618">
        <v>25.54</v>
      </c>
      <c r="E56" s="754">
        <v>190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1249</v>
      </c>
      <c r="D57" s="618">
        <v>104.08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1235</v>
      </c>
      <c r="D58" s="618">
        <v>748.99</v>
      </c>
      <c r="E58" s="754">
        <v>9720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767">
        <v>43326</v>
      </c>
      <c r="D59" s="618">
        <v>243.66</v>
      </c>
      <c r="E59" s="754">
        <v>301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1252</v>
      </c>
      <c r="D60" s="618">
        <v>42.4</v>
      </c>
      <c r="E60" s="754">
        <v>443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767">
        <v>43350</v>
      </c>
      <c r="D61" s="618">
        <v>44.3</v>
      </c>
      <c r="E61" s="754">
        <v>301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1235</v>
      </c>
      <c r="D62" s="618">
        <v>629.86</v>
      </c>
      <c r="E62" s="754">
        <v>6863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1235</v>
      </c>
      <c r="D63" s="618">
        <v>24.39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1249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767">
        <v>43350</v>
      </c>
      <c r="D65" s="618">
        <v>42</v>
      </c>
      <c r="E65" s="754">
        <v>150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1242</v>
      </c>
      <c r="D66" s="618">
        <v>29.7</v>
      </c>
      <c r="E66" s="754">
        <v>250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1242</v>
      </c>
      <c r="D67" s="618">
        <v>13.74</v>
      </c>
      <c r="E67" s="754">
        <v>8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1260</v>
      </c>
      <c r="D69" s="269">
        <v>193</v>
      </c>
      <c r="E69" s="757">
        <v>1802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1260</v>
      </c>
      <c r="D70" s="269">
        <v>168</v>
      </c>
      <c r="E70" s="757">
        <v>1303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1260</v>
      </c>
      <c r="D71" s="269">
        <v>100</v>
      </c>
      <c r="E71" s="757">
        <v>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1260</v>
      </c>
      <c r="D72" s="269">
        <v>39</v>
      </c>
      <c r="E72" s="757">
        <v>93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1260</v>
      </c>
      <c r="D73" s="269">
        <v>37</v>
      </c>
      <c r="E73" s="757">
        <v>74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1260</v>
      </c>
      <c r="D74" s="269">
        <v>295</v>
      </c>
      <c r="E74" s="757">
        <v>2714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1260</v>
      </c>
      <c r="D75" s="269">
        <v>101</v>
      </c>
      <c r="E75" s="757">
        <v>873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1260</v>
      </c>
      <c r="D76" s="269">
        <v>64</v>
      </c>
      <c r="E76" s="757">
        <v>377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1260</v>
      </c>
      <c r="D77" s="269">
        <v>58</v>
      </c>
      <c r="E77" s="757">
        <v>85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1260</v>
      </c>
      <c r="D78" s="269">
        <v>31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1260</v>
      </c>
      <c r="D79" s="269">
        <v>89</v>
      </c>
      <c r="E79" s="757">
        <v>648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1260</v>
      </c>
      <c r="D80" s="269">
        <v>50</v>
      </c>
      <c r="E80" s="757">
        <v>0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1333</v>
      </c>
      <c r="B81" s="762" t="s">
        <v>201</v>
      </c>
      <c r="C81" s="327" t="s">
        <v>1244</v>
      </c>
      <c r="D81" s="328">
        <v>111</v>
      </c>
      <c r="E81" s="763">
        <v>708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1244</v>
      </c>
      <c r="D82" s="269">
        <v>1591</v>
      </c>
      <c r="E82" s="757">
        <v>12840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1244</v>
      </c>
      <c r="D83" s="269">
        <v>40</v>
      </c>
      <c r="E83" s="757">
        <v>20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1244</v>
      </c>
      <c r="D84" s="269">
        <v>56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1244</v>
      </c>
      <c r="D85" s="269">
        <v>30</v>
      </c>
      <c r="E85" s="757">
        <v>27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1244</v>
      </c>
      <c r="D86" s="269">
        <v>44</v>
      </c>
      <c r="E86" s="757">
        <v>60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1244</v>
      </c>
      <c r="D87" s="269">
        <v>305</v>
      </c>
      <c r="E87" s="757">
        <v>1800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1244</v>
      </c>
      <c r="D88" s="269">
        <v>250</v>
      </c>
      <c r="E88" s="757">
        <v>1800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1245</v>
      </c>
      <c r="D89" s="674">
        <v>271</v>
      </c>
      <c r="E89" s="771">
        <v>15.96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1244</v>
      </c>
      <c r="D90" s="269">
        <v>152</v>
      </c>
      <c r="E90" s="757">
        <v>652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1244</v>
      </c>
      <c r="D91" s="269">
        <v>51</v>
      </c>
      <c r="E91" s="757">
        <v>6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1244</v>
      </c>
      <c r="D92" s="269">
        <v>113</v>
      </c>
      <c r="E92" s="757">
        <v>698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1244</v>
      </c>
      <c r="D93" s="269">
        <v>85</v>
      </c>
      <c r="E93" s="757">
        <v>594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1244</v>
      </c>
      <c r="D94" s="269">
        <v>1553</v>
      </c>
      <c r="E94" s="757">
        <v>18120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1244</v>
      </c>
      <c r="D95" s="269">
        <v>130</v>
      </c>
      <c r="E95" s="757">
        <v>87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1244</v>
      </c>
      <c r="D96" s="269">
        <v>330</v>
      </c>
      <c r="E96" s="757">
        <v>960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1244</v>
      </c>
      <c r="D98" s="269">
        <v>373.11</v>
      </c>
      <c r="E98" s="757">
        <v>522</v>
      </c>
      <c r="F98" s="544"/>
      <c r="G98" s="757"/>
      <c r="H98" s="269">
        <v>373.11</v>
      </c>
      <c r="I98" s="757">
        <v>522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1244</v>
      </c>
      <c r="D99" s="269">
        <v>154.91</v>
      </c>
      <c r="E99" s="757">
        <v>221</v>
      </c>
      <c r="F99" s="544"/>
      <c r="G99" s="757"/>
      <c r="H99" s="269">
        <v>154.91</v>
      </c>
      <c r="I99" s="757">
        <v>221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1244</v>
      </c>
      <c r="D100" s="269">
        <v>37.93</v>
      </c>
      <c r="E100" s="757">
        <v>28</v>
      </c>
      <c r="F100" s="544"/>
      <c r="G100" s="757"/>
      <c r="H100" s="269">
        <v>37.93</v>
      </c>
      <c r="I100" s="757">
        <v>28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1244</v>
      </c>
      <c r="D101" s="269">
        <v>34.729999999999997</v>
      </c>
      <c r="E101" s="757">
        <v>22</v>
      </c>
      <c r="F101" s="544"/>
      <c r="G101" s="757"/>
      <c r="H101" s="269">
        <v>34.729999999999997</v>
      </c>
      <c r="I101" s="757">
        <v>22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1244</v>
      </c>
      <c r="D102" s="269">
        <v>33.659999999999997</v>
      </c>
      <c r="E102" s="757">
        <v>18</v>
      </c>
      <c r="F102" s="544"/>
      <c r="G102" s="757"/>
      <c r="H102" s="269">
        <v>33.659999999999997</v>
      </c>
      <c r="I102" s="757">
        <v>18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1244</v>
      </c>
      <c r="D103" s="269">
        <v>33.659999999999997</v>
      </c>
      <c r="E103" s="757">
        <v>16</v>
      </c>
      <c r="F103" s="544"/>
      <c r="G103" s="757"/>
      <c r="H103" s="269">
        <v>33.659999999999997</v>
      </c>
      <c r="I103" s="757">
        <v>16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1244</v>
      </c>
      <c r="D104" s="269">
        <v>37.93</v>
      </c>
      <c r="E104" s="757">
        <v>28</v>
      </c>
      <c r="F104" s="544"/>
      <c r="G104" s="757"/>
      <c r="H104" s="269">
        <v>37.93</v>
      </c>
      <c r="I104" s="757">
        <v>28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1244</v>
      </c>
      <c r="D105" s="269">
        <v>33.659999999999997</v>
      </c>
      <c r="E105" s="757">
        <v>0</v>
      </c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1244</v>
      </c>
      <c r="D106" s="269">
        <v>41.14</v>
      </c>
      <c r="E106" s="757">
        <v>34</v>
      </c>
      <c r="F106" s="544"/>
      <c r="G106" s="757"/>
      <c r="H106" s="269">
        <v>41.14</v>
      </c>
      <c r="I106" s="757">
        <v>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1244</v>
      </c>
      <c r="D107" s="269">
        <v>34.729999999999997</v>
      </c>
      <c r="E107" s="757">
        <v>22</v>
      </c>
      <c r="F107" s="544"/>
      <c r="G107" s="757"/>
      <c r="H107" s="269">
        <v>34.729999999999997</v>
      </c>
      <c r="I107" s="757">
        <v>22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1244</v>
      </c>
      <c r="D108" s="269">
        <v>33.659999999999997</v>
      </c>
      <c r="E108" s="757">
        <v>0</v>
      </c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1244</v>
      </c>
      <c r="D109" s="242">
        <v>33.659999999999997</v>
      </c>
      <c r="E109" s="749">
        <v>0</v>
      </c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1244</v>
      </c>
      <c r="D110" s="269">
        <v>33.659999999999997</v>
      </c>
      <c r="E110" s="757">
        <v>0</v>
      </c>
      <c r="F110" s="544"/>
      <c r="G110" s="757"/>
      <c r="H110" s="269">
        <v>33.659999999999997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1244</v>
      </c>
      <c r="D111" s="269">
        <v>35.799999999999997</v>
      </c>
      <c r="E111" s="757">
        <v>24</v>
      </c>
      <c r="F111" s="544"/>
      <c r="G111" s="757"/>
      <c r="H111" s="269">
        <v>35.799999999999997</v>
      </c>
      <c r="I111" s="757">
        <v>24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1244</v>
      </c>
      <c r="D112" s="269">
        <v>308.85000000000002</v>
      </c>
      <c r="E112" s="757">
        <v>438</v>
      </c>
      <c r="F112" s="544"/>
      <c r="G112" s="757"/>
      <c r="H112" s="269">
        <v>308.85000000000002</v>
      </c>
      <c r="I112" s="757">
        <v>438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45" t="s">
        <v>1244</v>
      </c>
      <c r="D113" s="269">
        <v>33.659999999999997</v>
      </c>
      <c r="E113" s="757">
        <v>4</v>
      </c>
      <c r="F113" s="544"/>
      <c r="G113" s="757"/>
      <c r="H113" s="269">
        <v>33.659999999999997</v>
      </c>
      <c r="I113" s="757">
        <v>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1244</v>
      </c>
      <c r="D114" s="269">
        <v>33.659999999999997</v>
      </c>
      <c r="E114" s="757">
        <v>0</v>
      </c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1244</v>
      </c>
      <c r="D115" s="269">
        <v>84.82</v>
      </c>
      <c r="E115" s="757">
        <v>113</v>
      </c>
      <c r="F115" s="544"/>
      <c r="G115" s="757"/>
      <c r="H115" s="269">
        <v>84.82</v>
      </c>
      <c r="I115" s="757">
        <v>113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1244</v>
      </c>
      <c r="D116" s="269">
        <v>33.659999999999997</v>
      </c>
      <c r="E116" s="757">
        <v>6</v>
      </c>
      <c r="F116" s="544"/>
      <c r="G116" s="757"/>
      <c r="H116" s="269">
        <v>33.659999999999997</v>
      </c>
      <c r="I116" s="757">
        <v>6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45" t="s">
        <v>1244</v>
      </c>
      <c r="D117" s="269">
        <v>33.659999999999997</v>
      </c>
      <c r="E117" s="757">
        <v>0</v>
      </c>
      <c r="F117" s="544"/>
      <c r="G117" s="757"/>
      <c r="H117" s="269">
        <v>33.659999999999997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1244</v>
      </c>
      <c r="D118" s="269">
        <v>33.659999999999997</v>
      </c>
      <c r="E118" s="757">
        <v>0</v>
      </c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1244</v>
      </c>
      <c r="D119" s="269">
        <v>33.659999999999997</v>
      </c>
      <c r="E119" s="757">
        <v>0</v>
      </c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1244</v>
      </c>
      <c r="D120" s="269">
        <v>40.6</v>
      </c>
      <c r="E120" s="757">
        <v>33</v>
      </c>
      <c r="F120" s="544"/>
      <c r="G120" s="757"/>
      <c r="H120" s="269">
        <v>40.6</v>
      </c>
      <c r="I120" s="757">
        <v>33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1244</v>
      </c>
      <c r="D121" s="269">
        <v>96.5</v>
      </c>
      <c r="E121" s="757">
        <v>131</v>
      </c>
      <c r="F121" s="544"/>
      <c r="G121" s="757"/>
      <c r="H121" s="269">
        <v>96.5</v>
      </c>
      <c r="I121" s="757">
        <v>131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1244</v>
      </c>
      <c r="D122" s="269">
        <v>33.659999999999997</v>
      </c>
      <c r="E122" s="757">
        <v>1</v>
      </c>
      <c r="F122" s="544"/>
      <c r="G122" s="757"/>
      <c r="H122" s="269">
        <v>33.659999999999997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1244</v>
      </c>
      <c r="D124" s="269">
        <v>33.659999999999997</v>
      </c>
      <c r="E124" s="757">
        <v>0</v>
      </c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1244</v>
      </c>
      <c r="D127" s="269">
        <v>33.659999999999997</v>
      </c>
      <c r="E127" s="757">
        <v>12</v>
      </c>
      <c r="F127" s="544"/>
      <c r="G127" s="757"/>
      <c r="H127" s="269">
        <v>33.659999999999997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1244</v>
      </c>
      <c r="D128" s="269">
        <v>33.659999999999997</v>
      </c>
      <c r="E128" s="757">
        <v>0</v>
      </c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1250</v>
      </c>
      <c r="D129" s="269"/>
      <c r="E129" s="757"/>
      <c r="F129" s="544"/>
      <c r="G129" s="757"/>
      <c r="H129" s="269">
        <v>41.67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1244</v>
      </c>
      <c r="D130" s="269">
        <v>162.05000000000001</v>
      </c>
      <c r="E130" s="757">
        <v>232</v>
      </c>
      <c r="F130" s="544"/>
      <c r="G130" s="757"/>
      <c r="H130" s="269">
        <v>162.05000000000001</v>
      </c>
      <c r="I130" s="757">
        <v>232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1250</v>
      </c>
      <c r="D131" s="269"/>
      <c r="E131" s="757"/>
      <c r="F131" s="544"/>
      <c r="G131" s="757"/>
      <c r="H131" s="269">
        <v>1811.31</v>
      </c>
      <c r="I131" s="757">
        <v>2402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1250</v>
      </c>
      <c r="D132" s="269"/>
      <c r="E132" s="757"/>
      <c r="F132" s="544"/>
      <c r="G132" s="757"/>
      <c r="H132" s="269">
        <v>55.02</v>
      </c>
      <c r="I132" s="757">
        <v>60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1250</v>
      </c>
      <c r="D133" s="269"/>
      <c r="E133" s="757"/>
      <c r="F133" s="544"/>
      <c r="G133" s="757"/>
      <c r="H133" s="269">
        <v>1848.8</v>
      </c>
      <c r="I133" s="757">
        <v>2451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1250</v>
      </c>
      <c r="D134" s="269"/>
      <c r="E134" s="757"/>
      <c r="F134" s="544"/>
      <c r="G134" s="757"/>
      <c r="H134" s="269">
        <v>33.659999999999997</v>
      </c>
      <c r="I134" s="757">
        <v>2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1250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1250</v>
      </c>
      <c r="D136" s="269"/>
      <c r="E136" s="757"/>
      <c r="F136" s="544"/>
      <c r="G136" s="757"/>
      <c r="H136" s="269">
        <v>34.19</v>
      </c>
      <c r="I136" s="757">
        <v>21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1250</v>
      </c>
      <c r="D137" s="269"/>
      <c r="E137" s="757"/>
      <c r="F137" s="544"/>
      <c r="G137" s="757"/>
      <c r="H137" s="269">
        <v>453.44</v>
      </c>
      <c r="I137" s="757">
        <v>627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1250</v>
      </c>
      <c r="D138" s="269"/>
      <c r="E138" s="757"/>
      <c r="F138" s="544"/>
      <c r="G138" s="757"/>
      <c r="H138" s="269">
        <v>263.52</v>
      </c>
      <c r="I138" s="757">
        <v>377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1250</v>
      </c>
      <c r="D139" s="269"/>
      <c r="E139" s="757"/>
      <c r="F139" s="544"/>
      <c r="G139" s="757"/>
      <c r="H139" s="269">
        <v>211.91</v>
      </c>
      <c r="I139" s="757">
        <v>304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1246</v>
      </c>
      <c r="D141" s="269"/>
      <c r="E141" s="757"/>
      <c r="F141" s="544"/>
      <c r="G141" s="757"/>
      <c r="H141" s="269">
        <v>52.5</v>
      </c>
      <c r="I141" s="757">
        <v>50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43383</v>
      </c>
      <c r="D144" s="269"/>
      <c r="E144" s="757"/>
      <c r="F144" s="544"/>
      <c r="G144" s="757"/>
      <c r="H144" s="269">
        <v>35.18</v>
      </c>
      <c r="I144" s="757">
        <v>90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1243</v>
      </c>
      <c r="D146" s="269"/>
      <c r="E146" s="757"/>
      <c r="F146" s="544"/>
      <c r="G146" s="757"/>
      <c r="H146" s="269">
        <v>20</v>
      </c>
      <c r="I146" s="757">
        <v>1300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B21" sqref="B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1253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92"/>
      <c r="B4" s="793"/>
      <c r="C4" s="793"/>
      <c r="D4" s="793"/>
      <c r="E4" s="793"/>
      <c r="F4" s="793"/>
      <c r="G4" s="79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255269.39</v>
      </c>
      <c r="D13" s="34"/>
      <c r="E13" s="35" t="s">
        <v>33</v>
      </c>
      <c r="F13" s="34"/>
      <c r="G13" s="42">
        <v>23681.21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646</v>
      </c>
      <c r="D15" s="34"/>
      <c r="E15" s="35" t="s">
        <v>10</v>
      </c>
      <c r="F15" s="34"/>
      <c r="G15" s="42">
        <v>1080.73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95568</v>
      </c>
      <c r="D17" s="34"/>
      <c r="E17" s="35" t="s">
        <v>278</v>
      </c>
      <c r="F17" s="34"/>
      <c r="G17" s="42">
        <v>8201.2999999999993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9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9.1406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1223</v>
      </c>
      <c r="D3" s="257"/>
      <c r="E3" s="751"/>
      <c r="F3" s="586">
        <v>251.95</v>
      </c>
      <c r="G3" s="751">
        <v>348</v>
      </c>
      <c r="H3" s="257"/>
      <c r="I3" s="751"/>
      <c r="J3" s="256" t="s">
        <v>10</v>
      </c>
      <c r="K3" s="256"/>
      <c r="L3" s="256"/>
    </row>
    <row r="4" spans="1:36" s="184" customFormat="1" x14ac:dyDescent="0.25">
      <c r="A4" s="695" t="s">
        <v>13</v>
      </c>
      <c r="B4" s="681">
        <v>3026210376</v>
      </c>
      <c r="C4" s="245" t="s">
        <v>1226</v>
      </c>
      <c r="D4" s="269"/>
      <c r="E4" s="757"/>
      <c r="F4" s="544">
        <v>55.84</v>
      </c>
      <c r="G4" s="757">
        <v>19</v>
      </c>
      <c r="H4" s="269"/>
      <c r="I4" s="757"/>
      <c r="J4" s="245" t="s">
        <v>10</v>
      </c>
      <c r="K4" s="245"/>
      <c r="L4" s="245"/>
    </row>
    <row r="5" spans="1:36" s="148" customFormat="1" x14ac:dyDescent="0.25">
      <c r="A5" s="720" t="s">
        <v>34</v>
      </c>
      <c r="B5" s="721">
        <v>3039472917</v>
      </c>
      <c r="C5" s="256" t="s">
        <v>1221</v>
      </c>
      <c r="D5" s="257"/>
      <c r="E5" s="751"/>
      <c r="F5" s="586">
        <v>58.23</v>
      </c>
      <c r="G5" s="751">
        <v>23</v>
      </c>
      <c r="H5" s="257"/>
      <c r="I5" s="751"/>
      <c r="J5" s="256" t="s">
        <v>10</v>
      </c>
      <c r="K5" s="256"/>
      <c r="L5" s="256"/>
    </row>
    <row r="6" spans="1:36" s="184" customFormat="1" x14ac:dyDescent="0.25">
      <c r="A6" s="695" t="s">
        <v>37</v>
      </c>
      <c r="B6" s="681">
        <v>4005211270</v>
      </c>
      <c r="C6" s="245" t="s">
        <v>1225</v>
      </c>
      <c r="D6" s="269"/>
      <c r="E6" s="757"/>
      <c r="F6" s="544">
        <v>75.52</v>
      </c>
      <c r="G6" s="757">
        <v>52</v>
      </c>
      <c r="H6" s="269"/>
      <c r="I6" s="757"/>
      <c r="J6" s="245" t="s">
        <v>10</v>
      </c>
      <c r="K6" s="245"/>
      <c r="L6" s="245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1222</v>
      </c>
      <c r="D7" s="263"/>
      <c r="E7" s="752"/>
      <c r="F7" s="583">
        <v>67.36</v>
      </c>
      <c r="G7" s="752">
        <v>11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1222</v>
      </c>
      <c r="D8" s="263"/>
      <c r="E8" s="752"/>
      <c r="F8" s="583">
        <v>61.99</v>
      </c>
      <c r="G8" s="752">
        <v>1</v>
      </c>
      <c r="H8" s="263"/>
      <c r="I8" s="752"/>
      <c r="J8" s="262" t="s">
        <v>10</v>
      </c>
      <c r="K8" s="262"/>
      <c r="L8" s="262"/>
    </row>
    <row r="9" spans="1:36" s="184" customFormat="1" x14ac:dyDescent="0.25">
      <c r="A9" s="695" t="s">
        <v>44</v>
      </c>
      <c r="B9" s="681">
        <v>3039640691</v>
      </c>
      <c r="C9" s="245" t="s">
        <v>1224</v>
      </c>
      <c r="D9" s="269"/>
      <c r="E9" s="757"/>
      <c r="F9" s="544">
        <v>49.89</v>
      </c>
      <c r="G9" s="757">
        <v>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1224</v>
      </c>
      <c r="D10" s="269"/>
      <c r="E10" s="757"/>
      <c r="F10" s="544">
        <v>70.150000000000006</v>
      </c>
      <c r="G10" s="757">
        <v>43</v>
      </c>
      <c r="H10" s="269"/>
      <c r="I10" s="757"/>
      <c r="J10" s="245" t="s">
        <v>10</v>
      </c>
      <c r="K10" s="245"/>
      <c r="L10" s="245"/>
    </row>
    <row r="11" spans="1:36" s="149" customFormat="1" x14ac:dyDescent="0.25">
      <c r="A11" s="699" t="s">
        <v>610</v>
      </c>
      <c r="B11" s="688">
        <v>3039618715</v>
      </c>
      <c r="C11" s="271" t="s">
        <v>1222</v>
      </c>
      <c r="D11" s="263"/>
      <c r="E11" s="752"/>
      <c r="F11" s="583">
        <v>61.46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84" customFormat="1" x14ac:dyDescent="0.25">
      <c r="A12" s="695" t="s">
        <v>46</v>
      </c>
      <c r="B12" s="681">
        <v>3023189549</v>
      </c>
      <c r="C12" s="245" t="s">
        <v>1226</v>
      </c>
      <c r="D12" s="269"/>
      <c r="E12" s="757"/>
      <c r="F12" s="544">
        <v>44.52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1227</v>
      </c>
      <c r="B13" s="681">
        <v>3034878837</v>
      </c>
      <c r="C13" s="245" t="s">
        <v>1226</v>
      </c>
      <c r="D13" s="269"/>
      <c r="E13" s="757"/>
      <c r="F13" s="544">
        <v>47.51</v>
      </c>
      <c r="G13" s="757">
        <v>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1225</v>
      </c>
      <c r="D14" s="269"/>
      <c r="E14" s="757"/>
      <c r="F14" s="544">
        <v>50.48</v>
      </c>
      <c r="G14" s="757">
        <v>10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1226</v>
      </c>
      <c r="D15" s="269"/>
      <c r="E15" s="757"/>
      <c r="F15" s="544">
        <v>108.3</v>
      </c>
      <c r="G15" s="757">
        <v>107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1229</v>
      </c>
      <c r="D16" s="269"/>
      <c r="E16" s="757"/>
      <c r="F16" s="544">
        <v>33.01</v>
      </c>
      <c r="G16" s="757">
        <v>18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1229</v>
      </c>
      <c r="D17" s="269"/>
      <c r="E17" s="757"/>
      <c r="F17" s="544">
        <v>44.52</v>
      </c>
      <c r="G17" s="757">
        <v>0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1232</v>
      </c>
      <c r="D19" s="572">
        <v>27.88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/>
      <c r="D20" s="618">
        <v>198.11</v>
      </c>
      <c r="E20" s="754">
        <v>1450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/>
      <c r="D21" s="618">
        <v>815.46</v>
      </c>
      <c r="E21" s="754">
        <v>8247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1248</v>
      </c>
      <c r="D22" s="618">
        <v>2</v>
      </c>
      <c r="E22" s="754">
        <v>27.79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565" customFormat="1" ht="15.75" x14ac:dyDescent="0.25">
      <c r="A23" s="685" t="s">
        <v>828</v>
      </c>
      <c r="B23" s="685">
        <v>5216006443</v>
      </c>
      <c r="C23" s="563" t="s">
        <v>1232</v>
      </c>
      <c r="D23" s="572">
        <v>15.9</v>
      </c>
      <c r="E23" s="755">
        <v>70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1232</v>
      </c>
      <c r="D24" s="618">
        <v>212.91</v>
      </c>
      <c r="E24" s="754">
        <v>2784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1251</v>
      </c>
      <c r="D25" s="618">
        <v>5049.29</v>
      </c>
      <c r="E25" s="754">
        <v>87600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/>
      <c r="D26" s="618">
        <v>427</v>
      </c>
      <c r="E26" s="754">
        <v>2200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1232</v>
      </c>
      <c r="D27" s="618">
        <v>488.22</v>
      </c>
      <c r="E27" s="754">
        <v>2400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1233</v>
      </c>
      <c r="D28" s="618">
        <v>346.33</v>
      </c>
      <c r="E28" s="754">
        <v>2880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/>
      <c r="D29" s="618">
        <v>1016.79</v>
      </c>
      <c r="E29" s="754">
        <v>10548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1233</v>
      </c>
      <c r="D30" s="618">
        <v>675.26</v>
      </c>
      <c r="E30" s="754">
        <v>9834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/>
      <c r="D31" s="618">
        <v>1760.11</v>
      </c>
      <c r="E31" s="754">
        <v>10548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/>
      <c r="D32" s="618">
        <v>13.91</v>
      </c>
      <c r="E32" s="754">
        <v>29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/>
      <c r="D33" s="618">
        <v>22.52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1232</v>
      </c>
      <c r="D34" s="572">
        <v>21.34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619" customFormat="1" ht="21" customHeight="1" x14ac:dyDescent="0.25">
      <c r="A35" s="686" t="s">
        <v>870</v>
      </c>
      <c r="B35" s="686">
        <v>5216006456</v>
      </c>
      <c r="C35" s="546"/>
      <c r="D35" s="618">
        <v>321.76</v>
      </c>
      <c r="E35" s="754">
        <v>2880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/>
      <c r="D36" s="618">
        <v>200.6</v>
      </c>
      <c r="E36" s="754">
        <v>2856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1232</v>
      </c>
      <c r="D37" s="618">
        <v>507.79</v>
      </c>
      <c r="E37" s="754">
        <v>7124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1233</v>
      </c>
      <c r="D38" s="618">
        <v>45.53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/>
      <c r="D39" s="618">
        <v>23.57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/>
      <c r="D40" s="618">
        <v>90.07</v>
      </c>
      <c r="E40" s="754">
        <v>150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1231</v>
      </c>
      <c r="D41" s="618">
        <v>16.21</v>
      </c>
      <c r="E41" s="754">
        <v>45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/>
      <c r="D42" s="618">
        <v>19.059999999999999</v>
      </c>
      <c r="E42" s="754">
        <v>150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/>
      <c r="D43" s="618">
        <v>19.059999999999999</v>
      </c>
      <c r="E43" s="754">
        <v>150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1232</v>
      </c>
      <c r="D44" s="618">
        <v>13.22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/>
      <c r="D45" s="618">
        <v>341.62</v>
      </c>
      <c r="E45" s="754">
        <v>2880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/>
      <c r="D46" s="618">
        <v>339.56</v>
      </c>
      <c r="E46" s="754">
        <v>3254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/>
      <c r="D47" s="618">
        <v>252.09</v>
      </c>
      <c r="E47" s="754">
        <v>2200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/>
      <c r="D48" s="618">
        <v>1953.79</v>
      </c>
      <c r="E48" s="754">
        <v>10548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/>
      <c r="D49" s="618">
        <v>23.57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565" customFormat="1" ht="15.75" x14ac:dyDescent="0.25">
      <c r="A50" s="685" t="s">
        <v>867</v>
      </c>
      <c r="B50" s="685">
        <v>5216006472</v>
      </c>
      <c r="C50" s="563" t="s">
        <v>1233</v>
      </c>
      <c r="D50" s="572">
        <v>26.72</v>
      </c>
      <c r="E50" s="755">
        <v>160</v>
      </c>
      <c r="F50" s="604"/>
      <c r="G50" s="755"/>
      <c r="H50" s="572"/>
      <c r="I50" s="755"/>
      <c r="J50" s="563"/>
      <c r="K50" s="563" t="s">
        <v>809</v>
      </c>
      <c r="L50" s="563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1252</v>
      </c>
      <c r="D51" s="618">
        <v>108.33</v>
      </c>
      <c r="E51" s="754">
        <v>958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/>
      <c r="D52" s="618">
        <v>102.74</v>
      </c>
      <c r="E52" s="754">
        <v>770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/>
      <c r="D53" s="618">
        <v>22.52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1233</v>
      </c>
      <c r="D54" s="618">
        <v>47.18</v>
      </c>
      <c r="E54" s="754">
        <v>47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1250</v>
      </c>
      <c r="D55" s="618">
        <v>22.08</v>
      </c>
      <c r="E55" s="754">
        <v>150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1231</v>
      </c>
      <c r="D56" s="618">
        <v>105.88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/>
      <c r="D57" s="618">
        <v>901.21</v>
      </c>
      <c r="E57" s="754">
        <v>10550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1233</v>
      </c>
      <c r="D58" s="618">
        <v>291.60000000000002</v>
      </c>
      <c r="E58" s="754">
        <v>2893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1252</v>
      </c>
      <c r="D59" s="618">
        <v>129.94</v>
      </c>
      <c r="E59" s="754">
        <v>770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/>
      <c r="D60" s="618">
        <v>44.4</v>
      </c>
      <c r="E60" s="754">
        <v>150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/>
      <c r="D61" s="618">
        <v>724.35</v>
      </c>
      <c r="E61" s="754">
        <v>8258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/>
      <c r="D62" s="618">
        <v>25.51</v>
      </c>
      <c r="E62" s="754">
        <v>150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1231</v>
      </c>
      <c r="D63" s="618">
        <v>13.22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767" t="s">
        <v>1252</v>
      </c>
      <c r="D64" s="618">
        <v>36.93</v>
      </c>
      <c r="E64" s="754">
        <v>260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1231</v>
      </c>
      <c r="D65" s="618">
        <v>36.93</v>
      </c>
      <c r="E65" s="754">
        <v>358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1231</v>
      </c>
      <c r="D66" s="618">
        <v>20.05</v>
      </c>
      <c r="E66" s="754">
        <v>103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1228</v>
      </c>
      <c r="D68" s="269">
        <v>304</v>
      </c>
      <c r="E68" s="757">
        <v>2982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1228</v>
      </c>
      <c r="D69" s="269">
        <v>163</v>
      </c>
      <c r="E69" s="757">
        <v>1226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1228</v>
      </c>
      <c r="D70" s="269">
        <v>92</v>
      </c>
      <c r="E70" s="757">
        <v>449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1228</v>
      </c>
      <c r="D71" s="269">
        <v>38</v>
      </c>
      <c r="E71" s="757">
        <v>78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1228</v>
      </c>
      <c r="D72" s="269">
        <v>37</v>
      </c>
      <c r="E72" s="757">
        <v>75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1228</v>
      </c>
      <c r="D73" s="269">
        <v>247</v>
      </c>
      <c r="E73" s="757">
        <v>2149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1228</v>
      </c>
      <c r="D74" s="269">
        <v>155</v>
      </c>
      <c r="E74" s="757">
        <v>1449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1228</v>
      </c>
      <c r="D75" s="269">
        <v>62</v>
      </c>
      <c r="E75" s="757">
        <v>345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1228</v>
      </c>
      <c r="D76" s="269">
        <v>57</v>
      </c>
      <c r="E76" s="757">
        <v>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1228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1228</v>
      </c>
      <c r="D78" s="269">
        <v>36</v>
      </c>
      <c r="E78" s="757">
        <v>64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1228</v>
      </c>
      <c r="D79" s="269">
        <v>50.09</v>
      </c>
      <c r="E79" s="757">
        <v>1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1228</v>
      </c>
      <c r="D80" s="328">
        <v>222</v>
      </c>
      <c r="E80" s="763">
        <v>1921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1228</v>
      </c>
      <c r="D81" s="269">
        <v>1740</v>
      </c>
      <c r="E81" s="757">
        <v>15840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1228</v>
      </c>
      <c r="D82" s="269">
        <v>38</v>
      </c>
      <c r="E82" s="757">
        <v>2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1228</v>
      </c>
      <c r="D83" s="269">
        <v>56</v>
      </c>
      <c r="E83" s="757">
        <v>0.64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1228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1228</v>
      </c>
      <c r="D85" s="269">
        <v>74</v>
      </c>
      <c r="E85" s="757">
        <v>391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>
        <v>43348</v>
      </c>
      <c r="D88" s="674">
        <v>272</v>
      </c>
      <c r="E88" s="771">
        <v>14.96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1228</v>
      </c>
      <c r="D89" s="269">
        <v>173</v>
      </c>
      <c r="E89" s="757">
        <v>868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1228</v>
      </c>
      <c r="D91" s="269">
        <v>129</v>
      </c>
      <c r="E91" s="757">
        <v>875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1228</v>
      </c>
      <c r="D92" s="269">
        <v>97</v>
      </c>
      <c r="E92" s="757">
        <v>725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1228</v>
      </c>
      <c r="D93" s="269">
        <v>1096</v>
      </c>
      <c r="E93" s="757">
        <v>24720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1228</v>
      </c>
      <c r="D94" s="269">
        <v>225</v>
      </c>
      <c r="E94" s="757">
        <v>1905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1228</v>
      </c>
      <c r="D95" s="269">
        <v>337</v>
      </c>
      <c r="E95" s="757">
        <v>1080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1228</v>
      </c>
      <c r="D97" s="269"/>
      <c r="E97" s="757"/>
      <c r="F97" s="544"/>
      <c r="G97" s="757"/>
      <c r="H97" s="269">
        <v>360.87</v>
      </c>
      <c r="I97" s="757">
        <v>506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1228</v>
      </c>
      <c r="D98" s="269"/>
      <c r="E98" s="757"/>
      <c r="F98" s="544"/>
      <c r="G98" s="757"/>
      <c r="H98" s="269">
        <v>292.02</v>
      </c>
      <c r="I98" s="757">
        <v>416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1228</v>
      </c>
      <c r="D99" s="269"/>
      <c r="E99" s="757"/>
      <c r="F99" s="544"/>
      <c r="G99" s="757"/>
      <c r="H99" s="269">
        <v>33.659999999999997</v>
      </c>
      <c r="I99" s="757">
        <v>9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1228</v>
      </c>
      <c r="D100" s="269"/>
      <c r="E100" s="757"/>
      <c r="F100" s="544"/>
      <c r="G100" s="757"/>
      <c r="H100" s="269">
        <v>34.729999999999997</v>
      </c>
      <c r="I100" s="757">
        <v>22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1228</v>
      </c>
      <c r="D101" s="269"/>
      <c r="E101" s="757"/>
      <c r="F101" s="544"/>
      <c r="G101" s="757"/>
      <c r="H101" s="269">
        <v>44.34</v>
      </c>
      <c r="I101" s="757">
        <v>40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1228</v>
      </c>
      <c r="D102" s="269"/>
      <c r="E102" s="757"/>
      <c r="F102" s="544"/>
      <c r="G102" s="757"/>
      <c r="H102" s="269">
        <v>33.659999999999997</v>
      </c>
      <c r="I102" s="757">
        <v>4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1228</v>
      </c>
      <c r="D103" s="269"/>
      <c r="E103" s="757"/>
      <c r="F103" s="544"/>
      <c r="G103" s="757"/>
      <c r="H103" s="269">
        <v>57.69</v>
      </c>
      <c r="I103" s="757">
        <v>65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1228</v>
      </c>
      <c r="D104" s="269"/>
      <c r="E104" s="757"/>
      <c r="F104" s="544"/>
      <c r="G104" s="757"/>
      <c r="H104" s="269">
        <v>33.659999999999997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1228</v>
      </c>
      <c r="D105" s="269"/>
      <c r="E105" s="757"/>
      <c r="F105" s="544"/>
      <c r="G105" s="757"/>
      <c r="H105" s="269">
        <v>57.16</v>
      </c>
      <c r="I105" s="757">
        <v>64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1228</v>
      </c>
      <c r="D106" s="269"/>
      <c r="E106" s="757"/>
      <c r="F106" s="544"/>
      <c r="G106" s="757"/>
      <c r="H106" s="269">
        <v>33.659999999999997</v>
      </c>
      <c r="I106" s="757">
        <v>16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1228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1228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1228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1228</v>
      </c>
      <c r="D110" s="269"/>
      <c r="E110" s="757"/>
      <c r="F110" s="544"/>
      <c r="G110" s="757"/>
      <c r="H110" s="269">
        <v>63.56</v>
      </c>
      <c r="I110" s="757">
        <v>76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1228</v>
      </c>
      <c r="D111" s="269"/>
      <c r="E111" s="757"/>
      <c r="F111" s="544"/>
      <c r="G111" s="757"/>
      <c r="H111" s="269">
        <v>45.94</v>
      </c>
      <c r="I111" s="757">
        <v>43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1228</v>
      </c>
      <c r="D112" s="269"/>
      <c r="E112" s="757"/>
      <c r="F112" s="544"/>
      <c r="G112" s="757"/>
      <c r="H112" s="269">
        <v>33.659999999999997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1228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1228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1228</v>
      </c>
      <c r="D115" s="269"/>
      <c r="E115" s="757"/>
      <c r="F115" s="544"/>
      <c r="G115" s="757"/>
      <c r="H115" s="269">
        <v>33.659999999999997</v>
      </c>
      <c r="I115" s="757">
        <v>3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1228</v>
      </c>
      <c r="D116" s="269"/>
      <c r="E116" s="757"/>
      <c r="F116" s="544"/>
      <c r="G116" s="757"/>
      <c r="H116" s="269">
        <v>434.31</v>
      </c>
      <c r="I116" s="757">
        <v>602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1228</v>
      </c>
      <c r="D117" s="269"/>
      <c r="E117" s="757"/>
      <c r="F117" s="544"/>
      <c r="G117" s="757"/>
      <c r="H117" s="269">
        <v>95.85</v>
      </c>
      <c r="I117" s="757">
        <v>130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1228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1228</v>
      </c>
      <c r="D119" s="269"/>
      <c r="E119" s="757"/>
      <c r="F119" s="544"/>
      <c r="G119" s="757"/>
      <c r="H119" s="269">
        <v>332.57</v>
      </c>
      <c r="I119" s="757">
        <v>469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1228</v>
      </c>
      <c r="D120" s="269"/>
      <c r="E120" s="757"/>
      <c r="F120" s="544"/>
      <c r="G120" s="757"/>
      <c r="H120" s="269">
        <v>357.05</v>
      </c>
      <c r="I120" s="757">
        <v>501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1228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1228</v>
      </c>
      <c r="D123" s="269"/>
      <c r="E123" s="757"/>
      <c r="F123" s="544"/>
      <c r="G123" s="757"/>
      <c r="H123" s="269">
        <v>100.39</v>
      </c>
      <c r="I123" s="757">
        <v>137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1230</v>
      </c>
      <c r="D125" s="269"/>
      <c r="E125" s="757"/>
      <c r="F125" s="544"/>
      <c r="G125" s="757"/>
      <c r="H125" s="269">
        <v>42.74</v>
      </c>
      <c r="I125" s="757">
        <v>37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1228</v>
      </c>
      <c r="D126" s="269"/>
      <c r="E126" s="757"/>
      <c r="F126" s="544"/>
      <c r="G126" s="757"/>
      <c r="H126" s="269">
        <v>33.659999999999997</v>
      </c>
      <c r="I126" s="757">
        <v>14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1228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1233</v>
      </c>
      <c r="D128" s="269"/>
      <c r="E128" s="757"/>
      <c r="F128" s="544"/>
      <c r="G128" s="757"/>
      <c r="H128" s="269">
        <v>34.19</v>
      </c>
      <c r="I128" s="757">
        <v>21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1228</v>
      </c>
      <c r="D129" s="269"/>
      <c r="E129" s="757"/>
      <c r="F129" s="544"/>
      <c r="G129" s="757"/>
      <c r="H129" s="269">
        <v>305.08</v>
      </c>
      <c r="I129" s="757">
        <v>364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1233</v>
      </c>
      <c r="D130" s="269"/>
      <c r="E130" s="757"/>
      <c r="F130" s="544"/>
      <c r="G130" s="757"/>
      <c r="H130" s="269">
        <v>1874.04</v>
      </c>
      <c r="I130" s="757">
        <v>2484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1233</v>
      </c>
      <c r="D131" s="269"/>
      <c r="E131" s="757"/>
      <c r="F131" s="544"/>
      <c r="G131" s="757"/>
      <c r="H131" s="269">
        <v>43.81</v>
      </c>
      <c r="I131" s="757">
        <v>39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1233</v>
      </c>
      <c r="D132" s="269"/>
      <c r="E132" s="757"/>
      <c r="F132" s="544"/>
      <c r="G132" s="757"/>
      <c r="H132" s="269">
        <v>1877.1</v>
      </c>
      <c r="I132" s="757">
        <v>2488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1233</v>
      </c>
      <c r="D133" s="269"/>
      <c r="E133" s="757"/>
      <c r="F133" s="544"/>
      <c r="G133" s="757"/>
      <c r="H133" s="269">
        <v>33.659999999999997</v>
      </c>
      <c r="I133" s="757">
        <v>3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1233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1233</v>
      </c>
      <c r="D135" s="269"/>
      <c r="E135" s="757"/>
      <c r="F135" s="544"/>
      <c r="G135" s="757"/>
      <c r="H135" s="269">
        <v>33.659999999999997</v>
      </c>
      <c r="I135" s="757">
        <v>20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1233</v>
      </c>
      <c r="D136" s="269"/>
      <c r="E136" s="757"/>
      <c r="F136" s="544"/>
      <c r="G136" s="757"/>
      <c r="H136" s="269">
        <v>457.26</v>
      </c>
      <c r="I136" s="757">
        <v>632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1233</v>
      </c>
      <c r="D137" s="269"/>
      <c r="E137" s="757"/>
      <c r="F137" s="544"/>
      <c r="G137" s="757"/>
      <c r="H137" s="269">
        <v>235.24</v>
      </c>
      <c r="I137" s="757">
        <v>337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1233</v>
      </c>
      <c r="D138" s="269"/>
      <c r="E138" s="757"/>
      <c r="F138" s="544"/>
      <c r="G138" s="757"/>
      <c r="H138" s="269">
        <v>291.26</v>
      </c>
      <c r="I138" s="757">
        <v>415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>
        <v>43343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43353</v>
      </c>
      <c r="D143" s="269"/>
      <c r="E143" s="757"/>
      <c r="F143" s="544"/>
      <c r="G143" s="757"/>
      <c r="H143" s="269">
        <v>35.18</v>
      </c>
      <c r="I143" s="757">
        <v>50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1243</v>
      </c>
      <c r="D145" s="269"/>
      <c r="E145" s="757"/>
      <c r="F145" s="544"/>
      <c r="G145" s="757"/>
      <c r="H145" s="269">
        <v>20</v>
      </c>
      <c r="I145" s="757">
        <v>1300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 t="s">
        <v>356</v>
      </c>
      <c r="C147" s="289" t="s">
        <v>1236</v>
      </c>
      <c r="D147" s="269"/>
      <c r="E147" s="757"/>
      <c r="F147" s="544"/>
      <c r="G147" s="757"/>
      <c r="H147" s="269">
        <v>53.04</v>
      </c>
      <c r="I147" s="757">
        <v>84250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5" sqref="D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1234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89"/>
      <c r="B4" s="790"/>
      <c r="C4" s="790"/>
      <c r="D4" s="790"/>
      <c r="E4" s="790"/>
      <c r="F4" s="790"/>
      <c r="G4" s="79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320411.7</v>
      </c>
      <c r="D13" s="34"/>
      <c r="E13" s="35" t="s">
        <v>33</v>
      </c>
      <c r="F13" s="34"/>
      <c r="G13" s="42">
        <v>32843.31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1702</v>
      </c>
      <c r="D15" s="34"/>
      <c r="E15" s="35" t="s">
        <v>10</v>
      </c>
      <c r="F15" s="34"/>
      <c r="G15" s="42">
        <v>1669.1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14875</v>
      </c>
      <c r="D17" s="34"/>
      <c r="E17" s="35" t="s">
        <v>278</v>
      </c>
      <c r="F17" s="34"/>
      <c r="G17" s="42">
        <v>11050.95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24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1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1206</v>
      </c>
      <c r="D3" s="257"/>
      <c r="E3" s="751"/>
      <c r="F3" s="586">
        <v>870.29</v>
      </c>
      <c r="G3" s="751">
        <v>1354</v>
      </c>
      <c r="H3" s="257"/>
      <c r="I3" s="751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688">
        <v>3026210376</v>
      </c>
      <c r="C4" s="262" t="s">
        <v>1204</v>
      </c>
      <c r="D4" s="263"/>
      <c r="E4" s="752"/>
      <c r="F4" s="583">
        <v>57.32</v>
      </c>
      <c r="G4" s="752">
        <v>21</v>
      </c>
      <c r="H4" s="263"/>
      <c r="I4" s="752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21">
        <v>3039472917</v>
      </c>
      <c r="C5" s="256" t="s">
        <v>1205</v>
      </c>
      <c r="D5" s="257"/>
      <c r="E5" s="751"/>
      <c r="F5" s="586">
        <v>60.98</v>
      </c>
      <c r="G5" s="751">
        <v>27</v>
      </c>
      <c r="H5" s="257"/>
      <c r="I5" s="751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688">
        <v>4005211270</v>
      </c>
      <c r="C6" s="262" t="s">
        <v>1207</v>
      </c>
      <c r="D6" s="263"/>
      <c r="E6" s="752"/>
      <c r="F6" s="583">
        <v>17.64</v>
      </c>
      <c r="G6" s="752">
        <v>37</v>
      </c>
      <c r="H6" s="263"/>
      <c r="I6" s="752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1206</v>
      </c>
      <c r="D7" s="263"/>
      <c r="E7" s="752"/>
      <c r="F7" s="583">
        <v>64.760000000000005</v>
      </c>
      <c r="G7" s="752">
        <v>6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1206</v>
      </c>
      <c r="D8" s="263"/>
      <c r="E8" s="752"/>
      <c r="F8" s="583">
        <v>64.760000000000005</v>
      </c>
      <c r="G8" s="752">
        <v>6</v>
      </c>
      <c r="H8" s="263"/>
      <c r="I8" s="752"/>
      <c r="J8" s="262" t="s">
        <v>10</v>
      </c>
      <c r="K8" s="262"/>
      <c r="L8" s="262"/>
    </row>
    <row r="9" spans="1:36" s="149" customFormat="1" x14ac:dyDescent="0.25">
      <c r="A9" s="699" t="s">
        <v>44</v>
      </c>
      <c r="B9" s="688">
        <v>3039640691</v>
      </c>
      <c r="C9" s="262" t="s">
        <v>1204</v>
      </c>
      <c r="D9" s="263"/>
      <c r="E9" s="752"/>
      <c r="F9" s="583">
        <v>75.62</v>
      </c>
      <c r="G9" s="752">
        <v>51</v>
      </c>
      <c r="H9" s="263"/>
      <c r="I9" s="752"/>
      <c r="J9" s="262" t="s">
        <v>10</v>
      </c>
      <c r="K9" s="262"/>
      <c r="L9" s="262"/>
    </row>
    <row r="10" spans="1:36" s="149" customFormat="1" x14ac:dyDescent="0.25">
      <c r="A10" s="699" t="s">
        <v>43</v>
      </c>
      <c r="B10" s="688">
        <v>3039782225</v>
      </c>
      <c r="C10" s="262" t="s">
        <v>1204</v>
      </c>
      <c r="D10" s="263"/>
      <c r="E10" s="752"/>
      <c r="F10" s="583">
        <v>77.459999999999994</v>
      </c>
      <c r="G10" s="752">
        <v>54</v>
      </c>
      <c r="H10" s="263"/>
      <c r="I10" s="752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688">
        <v>3039618715</v>
      </c>
      <c r="C11" s="271" t="s">
        <v>1204</v>
      </c>
      <c r="D11" s="263"/>
      <c r="E11" s="752"/>
      <c r="F11" s="583">
        <v>61.46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688">
        <v>3023189549</v>
      </c>
      <c r="C12" s="262" t="s">
        <v>1204</v>
      </c>
      <c r="D12" s="263"/>
      <c r="E12" s="752"/>
      <c r="F12" s="583">
        <v>44.2</v>
      </c>
      <c r="G12" s="752">
        <v>0</v>
      </c>
      <c r="H12" s="263"/>
      <c r="I12" s="752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688">
        <v>3034878837</v>
      </c>
      <c r="C13" s="262" t="s">
        <v>1204</v>
      </c>
      <c r="D13" s="263"/>
      <c r="E13" s="752"/>
      <c r="F13" s="583">
        <v>42.06</v>
      </c>
      <c r="G13" s="752">
        <v>12</v>
      </c>
      <c r="H13" s="263"/>
      <c r="I13" s="752"/>
      <c r="J13" s="262" t="s">
        <v>10</v>
      </c>
      <c r="K13" s="262"/>
      <c r="L13" s="262"/>
    </row>
    <row r="14" spans="1:36" s="371" customFormat="1" x14ac:dyDescent="0.25">
      <c r="A14" s="779" t="s">
        <v>64</v>
      </c>
      <c r="B14" s="780">
        <v>3025670416</v>
      </c>
      <c r="C14" s="367"/>
      <c r="D14" s="368"/>
      <c r="E14" s="781"/>
      <c r="F14" s="654">
        <v>52.46</v>
      </c>
      <c r="G14" s="781">
        <v>21</v>
      </c>
      <c r="H14" s="368"/>
      <c r="I14" s="781"/>
      <c r="J14" s="367" t="s">
        <v>10</v>
      </c>
      <c r="K14" s="367"/>
      <c r="L14" s="367"/>
    </row>
    <row r="15" spans="1:36" s="149" customFormat="1" x14ac:dyDescent="0.25">
      <c r="A15" s="699" t="s">
        <v>65</v>
      </c>
      <c r="B15" s="688">
        <v>3023110891</v>
      </c>
      <c r="C15" s="262" t="s">
        <v>1204</v>
      </c>
      <c r="D15" s="263"/>
      <c r="E15" s="752"/>
      <c r="F15" s="583">
        <v>101.84</v>
      </c>
      <c r="G15" s="752">
        <v>94</v>
      </c>
      <c r="H15" s="263"/>
      <c r="I15" s="752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688">
        <v>3022125574</v>
      </c>
      <c r="C16" s="262" t="s">
        <v>1212</v>
      </c>
      <c r="D16" s="263"/>
      <c r="E16" s="752"/>
      <c r="F16" s="583">
        <v>33.729999999999997</v>
      </c>
      <c r="G16" s="752">
        <v>19</v>
      </c>
      <c r="H16" s="263"/>
      <c r="I16" s="752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688">
        <v>3022125841</v>
      </c>
      <c r="C17" s="266" t="s">
        <v>1212</v>
      </c>
      <c r="D17" s="263"/>
      <c r="E17" s="752"/>
      <c r="F17" s="583">
        <v>44.52</v>
      </c>
      <c r="G17" s="752">
        <v>0</v>
      </c>
      <c r="H17" s="263"/>
      <c r="I17" s="752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1217</v>
      </c>
      <c r="D19" s="572">
        <v>27.88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647" customFormat="1" ht="15.75" x14ac:dyDescent="0.25">
      <c r="A20" s="784" t="s">
        <v>831</v>
      </c>
      <c r="B20" s="784">
        <v>5216006440</v>
      </c>
      <c r="C20" s="785"/>
      <c r="D20" s="786">
        <v>198.11</v>
      </c>
      <c r="E20" s="787">
        <v>1450</v>
      </c>
      <c r="F20" s="788"/>
      <c r="G20" s="787"/>
      <c r="H20" s="786"/>
      <c r="I20" s="787"/>
      <c r="J20" s="785"/>
      <c r="K20" s="785" t="s">
        <v>777</v>
      </c>
      <c r="L20" s="785">
        <v>5216006440</v>
      </c>
    </row>
    <row r="21" spans="1:36" s="647" customFormat="1" ht="15.75" x14ac:dyDescent="0.25">
      <c r="A21" s="784" t="s">
        <v>830</v>
      </c>
      <c r="B21" s="784">
        <v>5216006441</v>
      </c>
      <c r="C21" s="785"/>
      <c r="D21" s="786">
        <v>815.46</v>
      </c>
      <c r="E21" s="787">
        <v>8247</v>
      </c>
      <c r="F21" s="788"/>
      <c r="G21" s="787"/>
      <c r="H21" s="786"/>
      <c r="I21" s="787"/>
      <c r="J21" s="785"/>
      <c r="K21" s="785" t="s">
        <v>778</v>
      </c>
      <c r="L21" s="785">
        <v>5216006441</v>
      </c>
    </row>
    <row r="22" spans="1:36" s="565" customFormat="1" ht="15.75" x14ac:dyDescent="0.25">
      <c r="A22" s="685" t="s">
        <v>855</v>
      </c>
      <c r="B22" s="685">
        <v>5216006442</v>
      </c>
      <c r="C22" s="563" t="s">
        <v>1219</v>
      </c>
      <c r="D22" s="572">
        <v>14.92</v>
      </c>
      <c r="E22" s="755">
        <v>21</v>
      </c>
      <c r="F22" s="604"/>
      <c r="G22" s="755"/>
      <c r="H22" s="572"/>
      <c r="I22" s="755"/>
      <c r="J22" s="563"/>
      <c r="K22" s="563" t="s">
        <v>894</v>
      </c>
      <c r="L22" s="563">
        <v>5216006442</v>
      </c>
    </row>
    <row r="23" spans="1:36" s="565" customFormat="1" ht="15.75" x14ac:dyDescent="0.25">
      <c r="A23" s="685" t="s">
        <v>828</v>
      </c>
      <c r="B23" s="685">
        <v>5216006443</v>
      </c>
      <c r="C23" s="563" t="s">
        <v>1214</v>
      </c>
      <c r="D23" s="572">
        <v>90.02</v>
      </c>
      <c r="E23" s="755">
        <v>784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565" customFormat="1" ht="15.75" x14ac:dyDescent="0.25">
      <c r="A24" s="685" t="s">
        <v>873</v>
      </c>
      <c r="B24" s="685">
        <v>5216006444</v>
      </c>
      <c r="C24" s="563" t="s">
        <v>1213</v>
      </c>
      <c r="D24" s="572">
        <v>249.49</v>
      </c>
      <c r="E24" s="755">
        <v>2632</v>
      </c>
      <c r="F24" s="604"/>
      <c r="G24" s="755"/>
      <c r="H24" s="572"/>
      <c r="I24" s="755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685">
        <v>5216006446</v>
      </c>
      <c r="C25" s="563" t="s">
        <v>1213</v>
      </c>
      <c r="D25" s="572">
        <v>8202.67</v>
      </c>
      <c r="E25" s="755">
        <v>108000</v>
      </c>
      <c r="F25" s="604"/>
      <c r="G25" s="755"/>
      <c r="H25" s="572"/>
      <c r="I25" s="755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685">
        <v>5216006447</v>
      </c>
      <c r="C26" s="563" t="s">
        <v>1217</v>
      </c>
      <c r="D26" s="572">
        <v>427.31</v>
      </c>
      <c r="E26" s="755">
        <v>4174</v>
      </c>
      <c r="F26" s="604"/>
      <c r="G26" s="755"/>
      <c r="H26" s="572"/>
      <c r="I26" s="755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685">
        <v>5216006448</v>
      </c>
      <c r="C27" s="563" t="s">
        <v>1213</v>
      </c>
      <c r="D27" s="572">
        <v>537.78</v>
      </c>
      <c r="E27" s="755">
        <v>2100</v>
      </c>
      <c r="F27" s="604"/>
      <c r="G27" s="755"/>
      <c r="H27" s="572"/>
      <c r="I27" s="755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685">
        <v>5216006449</v>
      </c>
      <c r="C28" s="563" t="s">
        <v>1220</v>
      </c>
      <c r="D28" s="572">
        <v>403.01</v>
      </c>
      <c r="E28" s="755">
        <v>2800</v>
      </c>
      <c r="F28" s="604"/>
      <c r="G28" s="755"/>
      <c r="H28" s="572"/>
      <c r="I28" s="755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685">
        <v>5216006450</v>
      </c>
      <c r="C29" s="563" t="s">
        <v>1217</v>
      </c>
      <c r="D29" s="572">
        <v>1291.93</v>
      </c>
      <c r="E29" s="755">
        <v>14680</v>
      </c>
      <c r="F29" s="604"/>
      <c r="G29" s="755"/>
      <c r="H29" s="572"/>
      <c r="I29" s="755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685">
        <v>5216006451</v>
      </c>
      <c r="C30" s="563" t="s">
        <v>1220</v>
      </c>
      <c r="D30" s="572">
        <v>2394.35</v>
      </c>
      <c r="E30" s="755">
        <v>17622</v>
      </c>
      <c r="F30" s="604"/>
      <c r="G30" s="755"/>
      <c r="H30" s="572"/>
      <c r="I30" s="755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685">
        <v>5216006452</v>
      </c>
      <c r="C31" s="563" t="s">
        <v>1217</v>
      </c>
      <c r="D31" s="572">
        <v>1760.11</v>
      </c>
      <c r="E31" s="755">
        <v>21300</v>
      </c>
      <c r="F31" s="604"/>
      <c r="G31" s="755"/>
      <c r="H31" s="572"/>
      <c r="I31" s="755"/>
      <c r="J31" s="563"/>
      <c r="K31" s="563" t="s">
        <v>789</v>
      </c>
      <c r="L31" s="563">
        <v>5216006452</v>
      </c>
    </row>
    <row r="32" spans="1:36" s="647" customFormat="1" ht="27.75" customHeight="1" x14ac:dyDescent="0.25">
      <c r="A32" s="784" t="s">
        <v>872</v>
      </c>
      <c r="B32" s="784">
        <v>5216006453</v>
      </c>
      <c r="C32" s="785"/>
      <c r="D32" s="786">
        <v>13.91</v>
      </c>
      <c r="E32" s="787">
        <v>20</v>
      </c>
      <c r="F32" s="788"/>
      <c r="G32" s="787"/>
      <c r="H32" s="786"/>
      <c r="I32" s="787"/>
      <c r="J32" s="785"/>
      <c r="K32" s="785" t="s">
        <v>790</v>
      </c>
      <c r="L32" s="785">
        <v>5216006453</v>
      </c>
    </row>
    <row r="33" spans="1:12" s="565" customFormat="1" ht="21" customHeight="1" x14ac:dyDescent="0.25">
      <c r="A33" s="685" t="s">
        <v>858</v>
      </c>
      <c r="B33" s="685">
        <v>5216006454</v>
      </c>
      <c r="C33" s="563" t="s">
        <v>1217</v>
      </c>
      <c r="D33" s="572">
        <v>22.52</v>
      </c>
      <c r="E33" s="755">
        <v>150</v>
      </c>
      <c r="F33" s="604"/>
      <c r="G33" s="755"/>
      <c r="H33" s="572"/>
      <c r="I33" s="755"/>
      <c r="J33" s="563"/>
      <c r="K33" s="563" t="s">
        <v>791</v>
      </c>
      <c r="L33" s="563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1214</v>
      </c>
      <c r="D34" s="572">
        <v>25.5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565" customFormat="1" ht="21" customHeight="1" x14ac:dyDescent="0.25">
      <c r="A35" s="685" t="s">
        <v>870</v>
      </c>
      <c r="B35" s="685">
        <v>5216006456</v>
      </c>
      <c r="C35" s="563" t="s">
        <v>1218</v>
      </c>
      <c r="D35" s="572">
        <v>321.76</v>
      </c>
      <c r="E35" s="755">
        <v>3096</v>
      </c>
      <c r="F35" s="604"/>
      <c r="G35" s="755"/>
      <c r="H35" s="572"/>
      <c r="I35" s="755"/>
      <c r="J35" s="563"/>
      <c r="K35" s="563" t="s">
        <v>793</v>
      </c>
      <c r="L35" s="563">
        <v>5216006456</v>
      </c>
    </row>
    <row r="36" spans="1:12" s="565" customFormat="1" ht="15.75" x14ac:dyDescent="0.25">
      <c r="A36" s="685" t="s">
        <v>851</v>
      </c>
      <c r="B36" s="685">
        <v>5216006457</v>
      </c>
      <c r="C36" s="563" t="s">
        <v>1218</v>
      </c>
      <c r="D36" s="572">
        <v>200.6</v>
      </c>
      <c r="E36" s="755">
        <v>2421</v>
      </c>
      <c r="F36" s="604"/>
      <c r="G36" s="755"/>
      <c r="H36" s="572"/>
      <c r="I36" s="755"/>
      <c r="J36" s="563"/>
      <c r="K36" s="563" t="s">
        <v>794</v>
      </c>
      <c r="L36" s="563">
        <v>5216006457</v>
      </c>
    </row>
    <row r="37" spans="1:12" s="565" customFormat="1" ht="15.75" x14ac:dyDescent="0.25">
      <c r="A37" s="685" t="s">
        <v>829</v>
      </c>
      <c r="B37" s="685">
        <v>5216006458</v>
      </c>
      <c r="C37" s="563" t="s">
        <v>1215</v>
      </c>
      <c r="D37" s="572">
        <v>655.02</v>
      </c>
      <c r="E37" s="755">
        <v>7340</v>
      </c>
      <c r="F37" s="604"/>
      <c r="G37" s="755"/>
      <c r="H37" s="572"/>
      <c r="I37" s="755"/>
      <c r="J37" s="563"/>
      <c r="K37" s="563" t="s">
        <v>795</v>
      </c>
      <c r="L37" s="563">
        <v>5216006458</v>
      </c>
    </row>
    <row r="38" spans="1:12" s="565" customFormat="1" ht="15.75" x14ac:dyDescent="0.25">
      <c r="A38" s="685" t="s">
        <v>850</v>
      </c>
      <c r="B38" s="685">
        <v>5216006459</v>
      </c>
      <c r="C38" s="563" t="s">
        <v>1220</v>
      </c>
      <c r="D38" s="572">
        <v>89.06</v>
      </c>
      <c r="E38" s="755">
        <v>64</v>
      </c>
      <c r="F38" s="604"/>
      <c r="G38" s="755"/>
      <c r="H38" s="572"/>
      <c r="I38" s="755"/>
      <c r="J38" s="563"/>
      <c r="K38" s="563" t="s">
        <v>796</v>
      </c>
      <c r="L38" s="563">
        <v>5216006459</v>
      </c>
    </row>
    <row r="39" spans="1:12" s="565" customFormat="1" ht="15.75" x14ac:dyDescent="0.25">
      <c r="A39" s="685" t="s">
        <v>848</v>
      </c>
      <c r="B39" s="685">
        <v>5216006460</v>
      </c>
      <c r="C39" s="563" t="s">
        <v>1217</v>
      </c>
      <c r="D39" s="572">
        <v>23.57</v>
      </c>
      <c r="E39" s="755">
        <v>150</v>
      </c>
      <c r="F39" s="604"/>
      <c r="G39" s="755"/>
      <c r="H39" s="572"/>
      <c r="I39" s="755"/>
      <c r="J39" s="563"/>
      <c r="K39" s="563" t="s">
        <v>797</v>
      </c>
      <c r="L39" s="563">
        <v>5216006460</v>
      </c>
    </row>
    <row r="40" spans="1:12" s="565" customFormat="1" ht="15.75" x14ac:dyDescent="0.25">
      <c r="A40" s="685" t="s">
        <v>874</v>
      </c>
      <c r="B40" s="685">
        <v>5216006461</v>
      </c>
      <c r="C40" s="563" t="s">
        <v>1214</v>
      </c>
      <c r="D40" s="572">
        <v>90.07</v>
      </c>
      <c r="E40" s="755">
        <v>870</v>
      </c>
      <c r="F40" s="604"/>
      <c r="G40" s="755"/>
      <c r="H40" s="572"/>
      <c r="I40" s="755"/>
      <c r="J40" s="563"/>
      <c r="K40" s="563" t="s">
        <v>798</v>
      </c>
      <c r="L40" s="563">
        <v>5216006461</v>
      </c>
    </row>
    <row r="41" spans="1:12" s="565" customFormat="1" ht="15.75" x14ac:dyDescent="0.25">
      <c r="A41" s="685" t="s">
        <v>847</v>
      </c>
      <c r="B41" s="685">
        <v>5216007172</v>
      </c>
      <c r="C41" s="563" t="s">
        <v>1220</v>
      </c>
      <c r="D41" s="572">
        <v>35.75</v>
      </c>
      <c r="E41" s="755">
        <v>160</v>
      </c>
      <c r="F41" s="604"/>
      <c r="G41" s="755"/>
      <c r="H41" s="572"/>
      <c r="I41" s="755"/>
      <c r="J41" s="563"/>
      <c r="K41" s="563" t="s">
        <v>799</v>
      </c>
      <c r="L41" s="563">
        <v>5216006462</v>
      </c>
    </row>
    <row r="42" spans="1:12" s="565" customFormat="1" ht="15.75" x14ac:dyDescent="0.25">
      <c r="A42" s="685" t="s">
        <v>836</v>
      </c>
      <c r="B42" s="685">
        <v>5216006464</v>
      </c>
      <c r="C42" s="563" t="s">
        <v>1217</v>
      </c>
      <c r="D42" s="572">
        <v>15.9</v>
      </c>
      <c r="E42" s="755">
        <v>70</v>
      </c>
      <c r="F42" s="604"/>
      <c r="G42" s="755"/>
      <c r="H42" s="572"/>
      <c r="I42" s="755"/>
      <c r="J42" s="563"/>
      <c r="K42" s="563" t="s">
        <v>801</v>
      </c>
      <c r="L42" s="563">
        <v>5216006464</v>
      </c>
    </row>
    <row r="43" spans="1:12" s="565" customFormat="1" ht="15.75" x14ac:dyDescent="0.25">
      <c r="A43" s="685" t="s">
        <v>837</v>
      </c>
      <c r="B43" s="685">
        <v>5216006465</v>
      </c>
      <c r="C43" s="563" t="s">
        <v>1217</v>
      </c>
      <c r="D43" s="572">
        <v>19.059999999999999</v>
      </c>
      <c r="E43" s="755">
        <v>80</v>
      </c>
      <c r="F43" s="604"/>
      <c r="G43" s="755"/>
      <c r="H43" s="572"/>
      <c r="I43" s="755"/>
      <c r="J43" s="563"/>
      <c r="K43" s="563" t="s">
        <v>802</v>
      </c>
      <c r="L43" s="563">
        <v>5216006465</v>
      </c>
    </row>
    <row r="44" spans="1:12" s="647" customFormat="1" ht="15.75" x14ac:dyDescent="0.25">
      <c r="A44" s="784" t="s">
        <v>869</v>
      </c>
      <c r="B44" s="784">
        <v>5216006466</v>
      </c>
      <c r="C44" s="785"/>
      <c r="D44" s="786">
        <v>26.44</v>
      </c>
      <c r="E44" s="787">
        <v>170</v>
      </c>
      <c r="F44" s="788"/>
      <c r="G44" s="787"/>
      <c r="H44" s="786"/>
      <c r="I44" s="787"/>
      <c r="J44" s="785"/>
      <c r="K44" s="785" t="s">
        <v>803</v>
      </c>
      <c r="L44" s="785">
        <v>5216006466</v>
      </c>
    </row>
    <row r="45" spans="1:12" s="565" customFormat="1" ht="15.75" x14ac:dyDescent="0.25">
      <c r="A45" s="685" t="s">
        <v>868</v>
      </c>
      <c r="B45" s="685">
        <v>5216006467</v>
      </c>
      <c r="C45" s="563" t="s">
        <v>1217</v>
      </c>
      <c r="D45" s="572">
        <v>341.62</v>
      </c>
      <c r="E45" s="755">
        <v>2448</v>
      </c>
      <c r="F45" s="604"/>
      <c r="G45" s="755"/>
      <c r="H45" s="572"/>
      <c r="I45" s="755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685" t="s">
        <v>832</v>
      </c>
      <c r="B46" s="685">
        <v>5216006468</v>
      </c>
      <c r="C46" s="563" t="s">
        <v>1217</v>
      </c>
      <c r="D46" s="572">
        <v>339.56</v>
      </c>
      <c r="E46" s="755">
        <v>1950</v>
      </c>
      <c r="F46" s="604"/>
      <c r="G46" s="755"/>
      <c r="H46" s="572"/>
      <c r="I46" s="755"/>
      <c r="J46" s="563"/>
      <c r="K46" s="563" t="s">
        <v>805</v>
      </c>
      <c r="L46" s="563">
        <v>5216006468</v>
      </c>
    </row>
    <row r="47" spans="1:12" s="647" customFormat="1" ht="15.75" x14ac:dyDescent="0.25">
      <c r="A47" s="784" t="s">
        <v>833</v>
      </c>
      <c r="B47" s="784">
        <v>5216006469</v>
      </c>
      <c r="C47" s="785"/>
      <c r="D47" s="786">
        <v>35.75</v>
      </c>
      <c r="E47" s="787">
        <v>160</v>
      </c>
      <c r="F47" s="788"/>
      <c r="G47" s="787"/>
      <c r="H47" s="786"/>
      <c r="I47" s="787"/>
      <c r="J47" s="785"/>
      <c r="K47" s="785" t="s">
        <v>806</v>
      </c>
      <c r="L47" s="785">
        <v>5216006469</v>
      </c>
    </row>
    <row r="48" spans="1:12" s="565" customFormat="1" ht="15.75" x14ac:dyDescent="0.25">
      <c r="A48" s="685" t="s">
        <v>976</v>
      </c>
      <c r="B48" s="685">
        <v>5216006470</v>
      </c>
      <c r="C48" s="563" t="s">
        <v>1217</v>
      </c>
      <c r="D48" s="572">
        <v>1953.79</v>
      </c>
      <c r="E48" s="755">
        <v>23760</v>
      </c>
      <c r="F48" s="604"/>
      <c r="G48" s="755"/>
      <c r="H48" s="572"/>
      <c r="I48" s="755"/>
      <c r="J48" s="563"/>
      <c r="K48" s="563"/>
      <c r="L48" s="563"/>
    </row>
    <row r="49" spans="1:12" s="565" customFormat="1" ht="15.75" x14ac:dyDescent="0.25">
      <c r="A49" s="685" t="s">
        <v>852</v>
      </c>
      <c r="B49" s="685">
        <v>5216006471</v>
      </c>
      <c r="C49" s="563" t="s">
        <v>1217</v>
      </c>
      <c r="D49" s="572">
        <v>23.57</v>
      </c>
      <c r="E49" s="755">
        <v>150</v>
      </c>
      <c r="F49" s="604"/>
      <c r="G49" s="755"/>
      <c r="H49" s="572"/>
      <c r="I49" s="755"/>
      <c r="J49" s="563"/>
      <c r="K49" s="563" t="s">
        <v>808</v>
      </c>
      <c r="L49" s="563">
        <v>5216006471</v>
      </c>
    </row>
    <row r="50" spans="1:12" s="647" customFormat="1" ht="15.75" x14ac:dyDescent="0.25">
      <c r="A50" s="784" t="s">
        <v>867</v>
      </c>
      <c r="B50" s="784">
        <v>5216006472</v>
      </c>
      <c r="C50" s="785"/>
      <c r="D50" s="786">
        <v>35.75</v>
      </c>
      <c r="E50" s="787">
        <v>160</v>
      </c>
      <c r="F50" s="788"/>
      <c r="G50" s="787"/>
      <c r="H50" s="786"/>
      <c r="I50" s="787"/>
      <c r="J50" s="785"/>
      <c r="K50" s="785" t="s">
        <v>809</v>
      </c>
      <c r="L50" s="785">
        <v>5216006472</v>
      </c>
    </row>
    <row r="51" spans="1:12" s="647" customFormat="1" ht="15.75" x14ac:dyDescent="0.25">
      <c r="A51" s="784" t="s">
        <v>840</v>
      </c>
      <c r="B51" s="784">
        <v>5216006473</v>
      </c>
      <c r="C51" s="785"/>
      <c r="D51" s="786">
        <v>90.02</v>
      </c>
      <c r="E51" s="787">
        <v>70</v>
      </c>
      <c r="F51" s="788"/>
      <c r="G51" s="787"/>
      <c r="H51" s="786"/>
      <c r="I51" s="787"/>
      <c r="J51" s="785"/>
      <c r="K51" s="785" t="s">
        <v>810</v>
      </c>
      <c r="L51" s="785">
        <v>5216006473</v>
      </c>
    </row>
    <row r="52" spans="1:12" s="565" customFormat="1" ht="15.75" x14ac:dyDescent="0.25">
      <c r="A52" s="685" t="s">
        <v>839</v>
      </c>
      <c r="B52" s="685">
        <v>5216006474</v>
      </c>
      <c r="C52" s="563" t="s">
        <v>1217</v>
      </c>
      <c r="D52" s="572">
        <v>-352.98</v>
      </c>
      <c r="E52" s="755">
        <v>492</v>
      </c>
      <c r="F52" s="604"/>
      <c r="G52" s="755"/>
      <c r="H52" s="572"/>
      <c r="I52" s="755"/>
      <c r="J52" s="563"/>
      <c r="K52" s="563" t="s">
        <v>811</v>
      </c>
      <c r="L52" s="563">
        <v>5216006474</v>
      </c>
    </row>
    <row r="53" spans="1:12" s="565" customFormat="1" ht="15.75" x14ac:dyDescent="0.25">
      <c r="A53" s="685" t="s">
        <v>841</v>
      </c>
      <c r="B53" s="685">
        <v>5216006475</v>
      </c>
      <c r="C53" s="563" t="s">
        <v>1217</v>
      </c>
      <c r="D53" s="572">
        <v>22.52</v>
      </c>
      <c r="E53" s="755">
        <v>150</v>
      </c>
      <c r="F53" s="604"/>
      <c r="G53" s="755"/>
      <c r="H53" s="572"/>
      <c r="I53" s="755"/>
      <c r="J53" s="563"/>
      <c r="K53" s="563" t="s">
        <v>812</v>
      </c>
      <c r="L53" s="563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546"/>
      <c r="D54" s="618"/>
      <c r="E54" s="754"/>
      <c r="F54" s="548"/>
      <c r="G54" s="754"/>
      <c r="H54" s="618"/>
      <c r="I54" s="754"/>
      <c r="J54" s="546"/>
      <c r="K54" s="546" t="s">
        <v>813</v>
      </c>
      <c r="L54" s="546">
        <v>5216006476</v>
      </c>
    </row>
    <row r="55" spans="1:12" s="565" customFormat="1" ht="15.75" x14ac:dyDescent="0.25">
      <c r="A55" s="685" t="s">
        <v>845</v>
      </c>
      <c r="B55" s="685">
        <v>5216006477</v>
      </c>
      <c r="C55" s="563" t="s">
        <v>1220</v>
      </c>
      <c r="D55" s="572">
        <v>703.22</v>
      </c>
      <c r="E55" s="755">
        <v>40</v>
      </c>
      <c r="F55" s="604"/>
      <c r="G55" s="755"/>
      <c r="H55" s="572"/>
      <c r="I55" s="755"/>
      <c r="J55" s="563"/>
      <c r="K55" s="563" t="s">
        <v>814</v>
      </c>
      <c r="L55" s="563">
        <v>5216006477</v>
      </c>
    </row>
    <row r="56" spans="1:12" s="565" customFormat="1" ht="15.75" x14ac:dyDescent="0.25">
      <c r="A56" s="685" t="s">
        <v>866</v>
      </c>
      <c r="B56" s="685">
        <v>5216006478</v>
      </c>
      <c r="C56" s="563" t="s">
        <v>1216</v>
      </c>
      <c r="D56" s="572">
        <v>22.08</v>
      </c>
      <c r="E56" s="755">
        <v>111</v>
      </c>
      <c r="F56" s="604"/>
      <c r="G56" s="755"/>
      <c r="H56" s="572"/>
      <c r="I56" s="755"/>
      <c r="J56" s="563"/>
      <c r="K56" s="563" t="s">
        <v>815</v>
      </c>
      <c r="L56" s="563">
        <v>5216006478</v>
      </c>
    </row>
    <row r="57" spans="1:12" s="565" customFormat="1" ht="15.75" x14ac:dyDescent="0.25">
      <c r="A57" s="685" t="s">
        <v>844</v>
      </c>
      <c r="B57" s="685">
        <v>5216006479</v>
      </c>
      <c r="C57" s="563" t="s">
        <v>1219</v>
      </c>
      <c r="D57" s="572">
        <v>117.4</v>
      </c>
      <c r="E57" s="755">
        <v>770</v>
      </c>
      <c r="F57" s="604"/>
      <c r="G57" s="755"/>
      <c r="H57" s="572"/>
      <c r="I57" s="755"/>
      <c r="J57" s="563"/>
      <c r="K57" s="563" t="s">
        <v>816</v>
      </c>
      <c r="L57" s="563">
        <v>5216006479</v>
      </c>
    </row>
    <row r="58" spans="1:12" s="565" customFormat="1" ht="15.75" x14ac:dyDescent="0.25">
      <c r="A58" s="685" t="s">
        <v>877</v>
      </c>
      <c r="B58" s="685">
        <v>5216006481</v>
      </c>
      <c r="C58" s="563" t="s">
        <v>1217</v>
      </c>
      <c r="D58" s="572">
        <v>901.21</v>
      </c>
      <c r="E58" s="755">
        <v>10920</v>
      </c>
      <c r="F58" s="604"/>
      <c r="G58" s="755"/>
      <c r="H58" s="572"/>
      <c r="I58" s="755"/>
      <c r="J58" s="563"/>
      <c r="K58" s="563" t="s">
        <v>818</v>
      </c>
      <c r="L58" s="563">
        <v>5216006481</v>
      </c>
    </row>
    <row r="59" spans="1:12" s="565" customFormat="1" ht="15.75" x14ac:dyDescent="0.25">
      <c r="A59" s="685" t="s">
        <v>865</v>
      </c>
      <c r="B59" s="685">
        <v>5216006482</v>
      </c>
      <c r="C59" s="563" t="s">
        <v>1217</v>
      </c>
      <c r="D59" s="572">
        <v>687.3</v>
      </c>
      <c r="E59" s="755">
        <v>3103</v>
      </c>
      <c r="F59" s="604"/>
      <c r="G59" s="755"/>
      <c r="H59" s="572"/>
      <c r="I59" s="755"/>
      <c r="J59" s="563"/>
      <c r="K59" s="563" t="s">
        <v>819</v>
      </c>
      <c r="L59" s="563">
        <v>5216006482</v>
      </c>
    </row>
    <row r="60" spans="1:12" s="565" customFormat="1" ht="15.75" x14ac:dyDescent="0.25">
      <c r="A60" s="685" t="s">
        <v>860</v>
      </c>
      <c r="B60" s="685">
        <v>5216006483</v>
      </c>
      <c r="C60" s="563" t="s">
        <v>1214</v>
      </c>
      <c r="D60" s="572">
        <v>165.81</v>
      </c>
      <c r="E60" s="755">
        <v>1726</v>
      </c>
      <c r="F60" s="604"/>
      <c r="G60" s="755"/>
      <c r="H60" s="572"/>
      <c r="I60" s="755"/>
      <c r="J60" s="563"/>
      <c r="K60" s="563" t="s">
        <v>820</v>
      </c>
      <c r="L60" s="563">
        <v>5216006483</v>
      </c>
    </row>
    <row r="61" spans="1:12" s="565" customFormat="1" ht="15.75" x14ac:dyDescent="0.25">
      <c r="A61" s="685" t="s">
        <v>864</v>
      </c>
      <c r="B61" s="685">
        <v>5216006484</v>
      </c>
      <c r="C61" s="563" t="s">
        <v>1214</v>
      </c>
      <c r="D61" s="572">
        <v>44.44</v>
      </c>
      <c r="E61" s="755">
        <v>403</v>
      </c>
      <c r="F61" s="604"/>
      <c r="G61" s="755"/>
      <c r="H61" s="572"/>
      <c r="I61" s="755"/>
      <c r="J61" s="563"/>
      <c r="K61" s="563" t="s">
        <v>821</v>
      </c>
      <c r="L61" s="563">
        <v>5216006484</v>
      </c>
    </row>
    <row r="62" spans="1:12" s="565" customFormat="1" ht="15.75" x14ac:dyDescent="0.25">
      <c r="A62" s="685" t="s">
        <v>861</v>
      </c>
      <c r="B62" s="685">
        <v>5216006485</v>
      </c>
      <c r="C62" s="563" t="s">
        <v>1217</v>
      </c>
      <c r="D62" s="572">
        <v>724.32</v>
      </c>
      <c r="E62" s="755">
        <v>7960</v>
      </c>
      <c r="F62" s="604"/>
      <c r="G62" s="755"/>
      <c r="H62" s="572"/>
      <c r="I62" s="755"/>
      <c r="J62" s="563"/>
      <c r="K62" s="563" t="s">
        <v>822</v>
      </c>
      <c r="L62" s="563">
        <v>5216006485</v>
      </c>
    </row>
    <row r="63" spans="1:12" s="565" customFormat="1" ht="15.75" x14ac:dyDescent="0.25">
      <c r="A63" s="685" t="s">
        <v>935</v>
      </c>
      <c r="B63" s="685">
        <v>5216006486</v>
      </c>
      <c r="C63" s="563" t="s">
        <v>1217</v>
      </c>
      <c r="D63" s="572">
        <v>25.51</v>
      </c>
      <c r="E63" s="755">
        <v>140</v>
      </c>
      <c r="F63" s="604"/>
      <c r="G63" s="755"/>
      <c r="H63" s="572"/>
      <c r="I63" s="755"/>
      <c r="J63" s="563"/>
      <c r="K63" s="563" t="s">
        <v>823</v>
      </c>
      <c r="L63" s="563">
        <v>5216006486</v>
      </c>
    </row>
    <row r="64" spans="1:12" s="647" customFormat="1" ht="15.75" x14ac:dyDescent="0.25">
      <c r="A64" s="784" t="s">
        <v>910</v>
      </c>
      <c r="B64" s="784">
        <v>5216007171</v>
      </c>
      <c r="C64" s="785"/>
      <c r="D64" s="786">
        <v>13.22</v>
      </c>
      <c r="E64" s="787">
        <v>70</v>
      </c>
      <c r="F64" s="788"/>
      <c r="G64" s="787"/>
      <c r="H64" s="786"/>
      <c r="I64" s="787"/>
      <c r="J64" s="785"/>
      <c r="K64" s="785"/>
      <c r="L64" s="785"/>
    </row>
    <row r="65" spans="1:36" s="565" customFormat="1" ht="15.75" x14ac:dyDescent="0.25">
      <c r="A65" s="685" t="s">
        <v>862</v>
      </c>
      <c r="B65" s="685">
        <v>5216006487</v>
      </c>
      <c r="C65" s="563" t="s">
        <v>1217</v>
      </c>
      <c r="D65" s="572">
        <v>1064.3</v>
      </c>
      <c r="E65" s="755">
        <v>9000</v>
      </c>
      <c r="F65" s="604"/>
      <c r="G65" s="755"/>
      <c r="H65" s="572"/>
      <c r="I65" s="755"/>
      <c r="J65" s="563"/>
      <c r="K65" s="563" t="s">
        <v>824</v>
      </c>
      <c r="L65" s="563">
        <v>5216006487</v>
      </c>
    </row>
    <row r="66" spans="1:36" s="565" customFormat="1" ht="15.75" x14ac:dyDescent="0.25">
      <c r="A66" s="685" t="s">
        <v>843</v>
      </c>
      <c r="B66" s="685">
        <v>5216006488</v>
      </c>
      <c r="C66" s="609" t="s">
        <v>1213</v>
      </c>
      <c r="D66" s="572">
        <v>42.82</v>
      </c>
      <c r="E66" s="755">
        <v>337</v>
      </c>
      <c r="F66" s="604"/>
      <c r="G66" s="755"/>
      <c r="H66" s="572"/>
      <c r="I66" s="755"/>
      <c r="J66" s="563"/>
      <c r="K66" s="563" t="s">
        <v>825</v>
      </c>
      <c r="L66" s="563">
        <v>5216006488</v>
      </c>
    </row>
    <row r="67" spans="1:36" s="565" customFormat="1" ht="15.75" x14ac:dyDescent="0.25">
      <c r="A67" s="685" t="s">
        <v>842</v>
      </c>
      <c r="B67" s="685">
        <v>5216006489</v>
      </c>
      <c r="C67" s="563" t="s">
        <v>1213</v>
      </c>
      <c r="D67" s="572">
        <v>55.49</v>
      </c>
      <c r="E67" s="755">
        <v>481</v>
      </c>
      <c r="F67" s="604"/>
      <c r="G67" s="755"/>
      <c r="H67" s="572"/>
      <c r="I67" s="755"/>
      <c r="J67" s="563"/>
      <c r="K67" s="563" t="s">
        <v>826</v>
      </c>
      <c r="L67" s="563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688" t="s">
        <v>208</v>
      </c>
      <c r="C69" s="266" t="s">
        <v>1208</v>
      </c>
      <c r="D69" s="263">
        <v>311</v>
      </c>
      <c r="E69" s="752">
        <v>3113</v>
      </c>
      <c r="F69" s="583"/>
      <c r="G69" s="752"/>
      <c r="H69" s="263"/>
      <c r="I69" s="752"/>
      <c r="J69" s="262" t="s">
        <v>33</v>
      </c>
      <c r="K69" s="262"/>
      <c r="L69" s="262"/>
    </row>
    <row r="70" spans="1:36" s="149" customFormat="1" ht="26.25" x14ac:dyDescent="0.25">
      <c r="A70" s="699" t="s">
        <v>52</v>
      </c>
      <c r="B70" s="688" t="s">
        <v>209</v>
      </c>
      <c r="C70" s="266" t="s">
        <v>1208</v>
      </c>
      <c r="D70" s="263">
        <v>187</v>
      </c>
      <c r="E70" s="752">
        <v>1514</v>
      </c>
      <c r="F70" s="583"/>
      <c r="G70" s="752"/>
      <c r="H70" s="263"/>
      <c r="I70" s="752"/>
      <c r="J70" s="262" t="s">
        <v>33</v>
      </c>
      <c r="K70" s="262"/>
      <c r="L70" s="262"/>
    </row>
    <row r="71" spans="1:36" s="149" customFormat="1" ht="26.25" x14ac:dyDescent="0.25">
      <c r="A71" s="699" t="s">
        <v>54</v>
      </c>
      <c r="B71" s="688">
        <v>7039100</v>
      </c>
      <c r="C71" s="266" t="s">
        <v>1208</v>
      </c>
      <c r="D71" s="263">
        <v>87</v>
      </c>
      <c r="E71" s="752">
        <v>410</v>
      </c>
      <c r="F71" s="583"/>
      <c r="G71" s="752"/>
      <c r="H71" s="263"/>
      <c r="I71" s="752"/>
      <c r="J71" s="262" t="s">
        <v>33</v>
      </c>
      <c r="K71" s="262"/>
      <c r="L71" s="262"/>
    </row>
    <row r="72" spans="1:36" s="149" customFormat="1" x14ac:dyDescent="0.25">
      <c r="A72" s="699" t="s">
        <v>55</v>
      </c>
      <c r="B72" s="688" t="s">
        <v>212</v>
      </c>
      <c r="C72" s="266" t="s">
        <v>1208</v>
      </c>
      <c r="D72" s="263">
        <v>37</v>
      </c>
      <c r="E72" s="752">
        <v>72</v>
      </c>
      <c r="F72" s="583"/>
      <c r="G72" s="752"/>
      <c r="H72" s="263"/>
      <c r="I72" s="752"/>
      <c r="J72" s="262" t="s">
        <v>33</v>
      </c>
      <c r="K72" s="262"/>
      <c r="L72" s="262"/>
    </row>
    <row r="73" spans="1:36" s="149" customFormat="1" x14ac:dyDescent="0.25">
      <c r="A73" s="699" t="s">
        <v>56</v>
      </c>
      <c r="B73" s="688" t="s">
        <v>213</v>
      </c>
      <c r="C73" s="266" t="s">
        <v>1208</v>
      </c>
      <c r="D73" s="263">
        <v>37</v>
      </c>
      <c r="E73" s="752">
        <v>75</v>
      </c>
      <c r="F73" s="583"/>
      <c r="G73" s="752"/>
      <c r="H73" s="263"/>
      <c r="I73" s="752"/>
      <c r="J73" s="262" t="s">
        <v>33</v>
      </c>
      <c r="K73" s="262"/>
      <c r="L73" s="262"/>
    </row>
    <row r="74" spans="1:36" s="149" customFormat="1" x14ac:dyDescent="0.25">
      <c r="A74" s="699" t="s">
        <v>57</v>
      </c>
      <c r="B74" s="688" t="s">
        <v>214</v>
      </c>
      <c r="C74" s="266" t="s">
        <v>1208</v>
      </c>
      <c r="D74" s="263">
        <v>230</v>
      </c>
      <c r="E74" s="752">
        <v>1990</v>
      </c>
      <c r="F74" s="583"/>
      <c r="G74" s="752"/>
      <c r="H74" s="263"/>
      <c r="I74" s="752"/>
      <c r="J74" s="262" t="s">
        <v>33</v>
      </c>
      <c r="K74" s="262"/>
      <c r="L74" s="262"/>
    </row>
    <row r="75" spans="1:36" s="149" customFormat="1" x14ac:dyDescent="0.25">
      <c r="A75" s="699" t="s">
        <v>58</v>
      </c>
      <c r="B75" s="688" t="s">
        <v>215</v>
      </c>
      <c r="C75" s="266" t="s">
        <v>1208</v>
      </c>
      <c r="D75" s="263">
        <v>157</v>
      </c>
      <c r="E75" s="752">
        <v>1494</v>
      </c>
      <c r="F75" s="583"/>
      <c r="G75" s="752"/>
      <c r="H75" s="263"/>
      <c r="I75" s="752"/>
      <c r="J75" s="262" t="s">
        <v>33</v>
      </c>
      <c r="K75" s="262"/>
      <c r="L75" s="262"/>
    </row>
    <row r="76" spans="1:36" s="149" customFormat="1" x14ac:dyDescent="0.25">
      <c r="A76" s="699" t="s">
        <v>770</v>
      </c>
      <c r="B76" s="688" t="s">
        <v>216</v>
      </c>
      <c r="C76" s="266" t="s">
        <v>1208</v>
      </c>
      <c r="D76" s="263">
        <v>61</v>
      </c>
      <c r="E76" s="752">
        <v>343</v>
      </c>
      <c r="F76" s="583"/>
      <c r="G76" s="752"/>
      <c r="H76" s="263"/>
      <c r="I76" s="752"/>
      <c r="J76" s="262" t="s">
        <v>33</v>
      </c>
      <c r="K76" s="262"/>
      <c r="L76" s="262"/>
    </row>
    <row r="77" spans="1:36" s="149" customFormat="1" x14ac:dyDescent="0.25">
      <c r="A77" s="699" t="s">
        <v>60</v>
      </c>
      <c r="B77" s="688" t="s">
        <v>217</v>
      </c>
      <c r="C77" s="266" t="s">
        <v>1208</v>
      </c>
      <c r="D77" s="263">
        <v>57</v>
      </c>
      <c r="E77" s="752">
        <v>72</v>
      </c>
      <c r="F77" s="583"/>
      <c r="G77" s="752"/>
      <c r="H77" s="263"/>
      <c r="I77" s="752"/>
      <c r="J77" s="262" t="s">
        <v>33</v>
      </c>
      <c r="K77" s="262"/>
      <c r="L77" s="262"/>
    </row>
    <row r="78" spans="1:36" s="149" customFormat="1" x14ac:dyDescent="0.25">
      <c r="A78" s="699" t="s">
        <v>61</v>
      </c>
      <c r="B78" s="688" t="s">
        <v>218</v>
      </c>
      <c r="C78" s="266" t="s">
        <v>1208</v>
      </c>
      <c r="D78" s="263">
        <v>31</v>
      </c>
      <c r="E78" s="752">
        <v>3</v>
      </c>
      <c r="F78" s="583"/>
      <c r="G78" s="752"/>
      <c r="H78" s="263"/>
      <c r="I78" s="752"/>
      <c r="J78" s="262" t="s">
        <v>33</v>
      </c>
      <c r="K78" s="262"/>
      <c r="L78" s="262"/>
    </row>
    <row r="79" spans="1:36" s="149" customFormat="1" x14ac:dyDescent="0.25">
      <c r="A79" s="699" t="s">
        <v>62</v>
      </c>
      <c r="B79" s="688" t="s">
        <v>219</v>
      </c>
      <c r="C79" s="266" t="s">
        <v>1208</v>
      </c>
      <c r="D79" s="263">
        <v>35</v>
      </c>
      <c r="E79" s="752">
        <v>52</v>
      </c>
      <c r="F79" s="583"/>
      <c r="G79" s="752"/>
      <c r="H79" s="263"/>
      <c r="I79" s="752"/>
      <c r="J79" s="262" t="s">
        <v>33</v>
      </c>
      <c r="K79" s="262"/>
      <c r="L79" s="262"/>
    </row>
    <row r="80" spans="1:36" s="149" customFormat="1" x14ac:dyDescent="0.25">
      <c r="A80" s="699" t="s">
        <v>771</v>
      </c>
      <c r="B80" s="688">
        <v>1402294701</v>
      </c>
      <c r="C80" s="266" t="s">
        <v>1208</v>
      </c>
      <c r="D80" s="263">
        <v>50.09</v>
      </c>
      <c r="E80" s="752">
        <v>1</v>
      </c>
      <c r="F80" s="583"/>
      <c r="G80" s="752"/>
      <c r="H80" s="263"/>
      <c r="I80" s="752"/>
      <c r="J80" s="262"/>
      <c r="K80" s="262"/>
      <c r="L80" s="262"/>
    </row>
    <row r="81" spans="1:12" s="148" customFormat="1" x14ac:dyDescent="0.25">
      <c r="A81" s="720" t="s">
        <v>621</v>
      </c>
      <c r="B81" s="721" t="s">
        <v>201</v>
      </c>
      <c r="C81" s="256" t="s">
        <v>1208</v>
      </c>
      <c r="D81" s="257">
        <v>173</v>
      </c>
      <c r="E81" s="751">
        <v>1406</v>
      </c>
      <c r="F81" s="586"/>
      <c r="G81" s="751"/>
      <c r="H81" s="257"/>
      <c r="I81" s="751"/>
      <c r="J81" s="256" t="s">
        <v>33</v>
      </c>
      <c r="K81" s="256"/>
      <c r="L81" s="256"/>
    </row>
    <row r="82" spans="1:12" s="149" customFormat="1" x14ac:dyDescent="0.25">
      <c r="A82" s="699" t="s">
        <v>768</v>
      </c>
      <c r="B82" s="688" t="s">
        <v>202</v>
      </c>
      <c r="C82" s="266" t="s">
        <v>1208</v>
      </c>
      <c r="D82" s="263">
        <v>1301</v>
      </c>
      <c r="E82" s="752">
        <v>15840</v>
      </c>
      <c r="F82" s="583"/>
      <c r="G82" s="752"/>
      <c r="H82" s="263"/>
      <c r="I82" s="752"/>
      <c r="J82" s="262" t="s">
        <v>33</v>
      </c>
      <c r="K82" s="262"/>
      <c r="L82" s="262"/>
    </row>
    <row r="83" spans="1:12" s="149" customFormat="1" x14ac:dyDescent="0.25">
      <c r="A83" s="699" t="s">
        <v>96</v>
      </c>
      <c r="B83" s="688">
        <v>7815400</v>
      </c>
      <c r="C83" s="262" t="s">
        <v>1208</v>
      </c>
      <c r="D83" s="263">
        <v>38</v>
      </c>
      <c r="E83" s="752">
        <v>2</v>
      </c>
      <c r="F83" s="583"/>
      <c r="G83" s="752"/>
      <c r="H83" s="263"/>
      <c r="I83" s="752"/>
      <c r="J83" s="262" t="s">
        <v>33</v>
      </c>
      <c r="K83" s="262"/>
      <c r="L83" s="262"/>
    </row>
    <row r="84" spans="1:12" s="149" customFormat="1" x14ac:dyDescent="0.25">
      <c r="A84" s="699" t="s">
        <v>97</v>
      </c>
      <c r="B84" s="688" t="s">
        <v>204</v>
      </c>
      <c r="C84" s="262" t="s">
        <v>1208</v>
      </c>
      <c r="D84" s="263">
        <v>56</v>
      </c>
      <c r="E84" s="752">
        <v>1</v>
      </c>
      <c r="F84" s="583"/>
      <c r="G84" s="752"/>
      <c r="H84" s="263"/>
      <c r="I84" s="752"/>
      <c r="J84" s="262" t="s">
        <v>33</v>
      </c>
      <c r="K84" s="262"/>
      <c r="L84" s="262"/>
    </row>
    <row r="85" spans="1:12" s="149" customFormat="1" x14ac:dyDescent="0.25">
      <c r="A85" s="699" t="s">
        <v>98</v>
      </c>
      <c r="B85" s="688" t="s">
        <v>205</v>
      </c>
      <c r="C85" s="262" t="s">
        <v>1208</v>
      </c>
      <c r="D85" s="263">
        <v>30</v>
      </c>
      <c r="E85" s="752">
        <v>0</v>
      </c>
      <c r="F85" s="583"/>
      <c r="G85" s="752"/>
      <c r="H85" s="263"/>
      <c r="I85" s="752"/>
      <c r="J85" s="262" t="s">
        <v>33</v>
      </c>
      <c r="K85" s="262"/>
      <c r="L85" s="262"/>
    </row>
    <row r="86" spans="1:12" s="149" customFormat="1" x14ac:dyDescent="0.25">
      <c r="A86" s="699" t="s">
        <v>769</v>
      </c>
      <c r="B86" s="688" t="s">
        <v>206</v>
      </c>
      <c r="C86" s="262" t="s">
        <v>1208</v>
      </c>
      <c r="D86" s="263">
        <v>40</v>
      </c>
      <c r="E86" s="752">
        <v>19</v>
      </c>
      <c r="F86" s="583"/>
      <c r="G86" s="752"/>
      <c r="H86" s="263"/>
      <c r="I86" s="752"/>
      <c r="J86" s="262" t="s">
        <v>33</v>
      </c>
      <c r="K86" s="262"/>
      <c r="L86" s="262"/>
    </row>
    <row r="87" spans="1:12" s="149" customFormat="1" x14ac:dyDescent="0.25">
      <c r="A87" s="699" t="s">
        <v>100</v>
      </c>
      <c r="B87" s="726">
        <v>1323346600</v>
      </c>
      <c r="C87" s="262" t="s">
        <v>1208</v>
      </c>
      <c r="D87" s="263">
        <v>384</v>
      </c>
      <c r="E87" s="752">
        <v>2700</v>
      </c>
      <c r="F87" s="583"/>
      <c r="G87" s="752"/>
      <c r="H87" s="263"/>
      <c r="I87" s="752"/>
      <c r="J87" s="262" t="s">
        <v>33</v>
      </c>
      <c r="K87" s="262"/>
      <c r="L87" s="262"/>
    </row>
    <row r="88" spans="1:12" s="149" customFormat="1" x14ac:dyDescent="0.25">
      <c r="A88" s="699" t="s">
        <v>101</v>
      </c>
      <c r="B88" s="726">
        <v>1322699400</v>
      </c>
      <c r="C88" s="266" t="s">
        <v>1208</v>
      </c>
      <c r="D88" s="263">
        <v>313</v>
      </c>
      <c r="E88" s="752">
        <v>2520</v>
      </c>
      <c r="F88" s="583"/>
      <c r="G88" s="752"/>
      <c r="H88" s="263"/>
      <c r="I88" s="752"/>
      <c r="J88" s="262" t="s">
        <v>33</v>
      </c>
      <c r="K88" s="262"/>
      <c r="L88" s="262"/>
    </row>
    <row r="89" spans="1:12" s="352" customFormat="1" x14ac:dyDescent="0.25">
      <c r="A89" s="700" t="s">
        <v>772</v>
      </c>
      <c r="B89" s="725" t="s">
        <v>200</v>
      </c>
      <c r="C89" s="646" t="s">
        <v>1208</v>
      </c>
      <c r="D89" s="349">
        <v>269</v>
      </c>
      <c r="E89" s="756">
        <v>17.7</v>
      </c>
      <c r="F89" s="593"/>
      <c r="G89" s="756"/>
      <c r="H89" s="349"/>
      <c r="I89" s="756"/>
      <c r="J89" s="348" t="s">
        <v>33</v>
      </c>
      <c r="K89" s="348"/>
      <c r="L89" s="348"/>
    </row>
    <row r="90" spans="1:12" s="149" customFormat="1" x14ac:dyDescent="0.25">
      <c r="A90" s="699" t="s">
        <v>110</v>
      </c>
      <c r="B90" s="688" t="s">
        <v>207</v>
      </c>
      <c r="C90" s="262" t="s">
        <v>1208</v>
      </c>
      <c r="D90" s="263">
        <v>114</v>
      </c>
      <c r="E90" s="752">
        <v>607</v>
      </c>
      <c r="F90" s="583"/>
      <c r="G90" s="752"/>
      <c r="H90" s="263"/>
      <c r="I90" s="752"/>
      <c r="J90" s="262" t="s">
        <v>33</v>
      </c>
      <c r="K90" s="262"/>
      <c r="L90" s="262"/>
    </row>
    <row r="91" spans="1:12" s="149" customFormat="1" x14ac:dyDescent="0.25">
      <c r="A91" s="699" t="s">
        <v>111</v>
      </c>
      <c r="B91" s="688" t="s">
        <v>222</v>
      </c>
      <c r="C91" s="262" t="s">
        <v>1208</v>
      </c>
      <c r="D91" s="263">
        <v>53</v>
      </c>
      <c r="E91" s="752">
        <v>29</v>
      </c>
      <c r="F91" s="583"/>
      <c r="G91" s="752"/>
      <c r="H91" s="263"/>
      <c r="I91" s="752"/>
      <c r="J91" s="262" t="s">
        <v>33</v>
      </c>
      <c r="K91" s="262"/>
      <c r="L91" s="262"/>
    </row>
    <row r="92" spans="1:12" s="149" customFormat="1" ht="15.75" customHeight="1" x14ac:dyDescent="0.25">
      <c r="A92" s="699" t="s">
        <v>117</v>
      </c>
      <c r="B92" s="688" t="s">
        <v>220</v>
      </c>
      <c r="C92" s="262" t="s">
        <v>1208</v>
      </c>
      <c r="D92" s="263">
        <v>128</v>
      </c>
      <c r="E92" s="752">
        <v>874</v>
      </c>
      <c r="F92" s="583"/>
      <c r="G92" s="752"/>
      <c r="H92" s="263"/>
      <c r="I92" s="752"/>
      <c r="J92" s="262" t="s">
        <v>33</v>
      </c>
      <c r="K92" s="262"/>
      <c r="L92" s="262"/>
    </row>
    <row r="93" spans="1:12" s="149" customFormat="1" x14ac:dyDescent="0.25">
      <c r="A93" s="699" t="s">
        <v>118</v>
      </c>
      <c r="B93" s="688" t="s">
        <v>221</v>
      </c>
      <c r="C93" s="266" t="s">
        <v>1208</v>
      </c>
      <c r="D93" s="263">
        <v>80</v>
      </c>
      <c r="E93" s="752">
        <v>549</v>
      </c>
      <c r="F93" s="583"/>
      <c r="G93" s="752"/>
      <c r="H93" s="263"/>
      <c r="I93" s="752"/>
      <c r="J93" s="262" t="s">
        <v>33</v>
      </c>
      <c r="K93" s="262"/>
      <c r="L93" s="262"/>
    </row>
    <row r="94" spans="1:12" s="149" customFormat="1" x14ac:dyDescent="0.25">
      <c r="A94" s="699" t="s">
        <v>701</v>
      </c>
      <c r="B94" s="688">
        <v>1323115001</v>
      </c>
      <c r="C94" s="266" t="s">
        <v>1208</v>
      </c>
      <c r="D94" s="263">
        <v>2987.3</v>
      </c>
      <c r="E94" s="752">
        <v>20400</v>
      </c>
      <c r="F94" s="583"/>
      <c r="G94" s="752"/>
      <c r="H94" s="263"/>
      <c r="I94" s="752"/>
      <c r="J94" s="262"/>
      <c r="K94" s="262"/>
      <c r="L94" s="262"/>
    </row>
    <row r="95" spans="1:12" s="149" customFormat="1" x14ac:dyDescent="0.25">
      <c r="A95" s="699" t="s">
        <v>683</v>
      </c>
      <c r="B95" s="688">
        <v>1322673502</v>
      </c>
      <c r="C95" s="266" t="s">
        <v>1208</v>
      </c>
      <c r="D95" s="263">
        <v>259</v>
      </c>
      <c r="E95" s="752">
        <v>2316</v>
      </c>
      <c r="F95" s="583"/>
      <c r="G95" s="752"/>
      <c r="H95" s="263"/>
      <c r="I95" s="752"/>
      <c r="J95" s="262"/>
      <c r="K95" s="262"/>
      <c r="L95" s="262"/>
    </row>
    <row r="96" spans="1:12" s="149" customFormat="1" x14ac:dyDescent="0.25">
      <c r="A96" s="699" t="s">
        <v>702</v>
      </c>
      <c r="B96" s="688">
        <v>1322725900</v>
      </c>
      <c r="C96" s="266" t="s">
        <v>1208</v>
      </c>
      <c r="D96" s="263">
        <v>329</v>
      </c>
      <c r="E96" s="752">
        <v>960</v>
      </c>
      <c r="F96" s="583"/>
      <c r="G96" s="752"/>
      <c r="H96" s="263"/>
      <c r="I96" s="752"/>
      <c r="J96" s="262"/>
      <c r="K96" s="262"/>
      <c r="L96" s="262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49" customFormat="1" x14ac:dyDescent="0.25">
      <c r="A98" s="699" t="s">
        <v>65</v>
      </c>
      <c r="B98" s="688" t="s">
        <v>163</v>
      </c>
      <c r="C98" s="262" t="s">
        <v>1208</v>
      </c>
      <c r="D98" s="263"/>
      <c r="E98" s="752"/>
      <c r="F98" s="583"/>
      <c r="G98" s="752"/>
      <c r="H98" s="263">
        <v>415.01</v>
      </c>
      <c r="I98" s="752">
        <v>506</v>
      </c>
      <c r="J98" s="262"/>
      <c r="K98" s="262"/>
      <c r="L98" s="262"/>
    </row>
    <row r="99" spans="1:36" s="149" customFormat="1" x14ac:dyDescent="0.25">
      <c r="A99" s="699" t="s">
        <v>37</v>
      </c>
      <c r="B99" s="688" t="s">
        <v>190</v>
      </c>
      <c r="C99" s="266" t="s">
        <v>1208</v>
      </c>
      <c r="D99" s="263"/>
      <c r="E99" s="752"/>
      <c r="F99" s="583"/>
      <c r="G99" s="752"/>
      <c r="H99" s="263">
        <v>326.45</v>
      </c>
      <c r="I99" s="752">
        <v>461</v>
      </c>
      <c r="J99" s="262"/>
      <c r="K99" s="262"/>
      <c r="L99" s="262"/>
    </row>
    <row r="100" spans="1:36" s="149" customFormat="1" x14ac:dyDescent="0.25">
      <c r="A100" s="699" t="s">
        <v>71</v>
      </c>
      <c r="B100" s="688" t="s">
        <v>188</v>
      </c>
      <c r="C100" s="262" t="s">
        <v>1208</v>
      </c>
      <c r="D100" s="263"/>
      <c r="E100" s="752"/>
      <c r="F100" s="583"/>
      <c r="G100" s="752"/>
      <c r="H100" s="263">
        <v>33.659999999999997</v>
      </c>
      <c r="I100" s="752">
        <v>18</v>
      </c>
      <c r="J100" s="262"/>
      <c r="K100" s="262"/>
      <c r="L100" s="262"/>
    </row>
    <row r="101" spans="1:36" s="149" customFormat="1" x14ac:dyDescent="0.25">
      <c r="A101" s="699" t="s">
        <v>72</v>
      </c>
      <c r="B101" s="688" t="s">
        <v>187</v>
      </c>
      <c r="C101" s="262" t="s">
        <v>1208</v>
      </c>
      <c r="D101" s="263"/>
      <c r="E101" s="752"/>
      <c r="F101" s="583"/>
      <c r="G101" s="752"/>
      <c r="H101" s="263">
        <v>39</v>
      </c>
      <c r="I101" s="752">
        <v>30</v>
      </c>
      <c r="J101" s="262"/>
      <c r="K101" s="262"/>
      <c r="L101" s="262"/>
    </row>
    <row r="102" spans="1:36" s="149" customFormat="1" x14ac:dyDescent="0.25">
      <c r="A102" s="699" t="s">
        <v>73</v>
      </c>
      <c r="B102" s="688" t="s">
        <v>171</v>
      </c>
      <c r="C102" s="262" t="s">
        <v>1208</v>
      </c>
      <c r="D102" s="263"/>
      <c r="E102" s="752"/>
      <c r="F102" s="583"/>
      <c r="G102" s="752"/>
      <c r="H102" s="263">
        <v>41.14</v>
      </c>
      <c r="I102" s="752">
        <v>34</v>
      </c>
      <c r="J102" s="262"/>
      <c r="K102" s="262"/>
      <c r="L102" s="262"/>
    </row>
    <row r="103" spans="1:36" s="149" customFormat="1" x14ac:dyDescent="0.25">
      <c r="A103" s="699" t="s">
        <v>74</v>
      </c>
      <c r="B103" s="688" t="s">
        <v>170</v>
      </c>
      <c r="C103" s="262" t="s">
        <v>1208</v>
      </c>
      <c r="D103" s="263"/>
      <c r="E103" s="752"/>
      <c r="F103" s="583"/>
      <c r="G103" s="752"/>
      <c r="H103" s="263">
        <v>33.659999999999997</v>
      </c>
      <c r="I103" s="752">
        <v>15</v>
      </c>
      <c r="J103" s="262"/>
      <c r="K103" s="262"/>
      <c r="L103" s="262"/>
    </row>
    <row r="104" spans="1:36" s="149" customFormat="1" x14ac:dyDescent="0.25">
      <c r="A104" s="699" t="s">
        <v>75</v>
      </c>
      <c r="B104" s="688" t="s">
        <v>189</v>
      </c>
      <c r="C104" s="262" t="s">
        <v>1208</v>
      </c>
      <c r="D104" s="263"/>
      <c r="E104" s="752"/>
      <c r="F104" s="583"/>
      <c r="G104" s="752"/>
      <c r="H104" s="263">
        <v>76.38</v>
      </c>
      <c r="I104" s="752">
        <v>100</v>
      </c>
      <c r="J104" s="262"/>
      <c r="K104" s="262"/>
      <c r="L104" s="262"/>
    </row>
    <row r="105" spans="1:36" s="149" customFormat="1" x14ac:dyDescent="0.25">
      <c r="A105" s="699" t="s">
        <v>76</v>
      </c>
      <c r="B105" s="688" t="s">
        <v>169</v>
      </c>
      <c r="C105" s="262" t="s">
        <v>1208</v>
      </c>
      <c r="D105" s="263"/>
      <c r="E105" s="752"/>
      <c r="F105" s="583"/>
      <c r="G105" s="752"/>
      <c r="H105" s="263">
        <v>33.659999999999997</v>
      </c>
      <c r="I105" s="752">
        <v>0</v>
      </c>
      <c r="J105" s="262"/>
      <c r="K105" s="262"/>
      <c r="L105" s="262"/>
    </row>
    <row r="106" spans="1:36" s="149" customFormat="1" x14ac:dyDescent="0.25">
      <c r="A106" s="699" t="s">
        <v>77</v>
      </c>
      <c r="B106" s="688" t="s">
        <v>168</v>
      </c>
      <c r="C106" s="262" t="s">
        <v>1208</v>
      </c>
      <c r="D106" s="263"/>
      <c r="E106" s="752"/>
      <c r="F106" s="583"/>
      <c r="G106" s="752"/>
      <c r="H106" s="263">
        <v>206.25</v>
      </c>
      <c r="I106" s="752">
        <v>296</v>
      </c>
      <c r="J106" s="262"/>
      <c r="K106" s="262"/>
      <c r="L106" s="262"/>
    </row>
    <row r="107" spans="1:36" s="149" customFormat="1" x14ac:dyDescent="0.25">
      <c r="A107" s="699" t="s">
        <v>78</v>
      </c>
      <c r="B107" s="688" t="s">
        <v>197</v>
      </c>
      <c r="C107" s="262" t="s">
        <v>1208</v>
      </c>
      <c r="D107" s="263"/>
      <c r="E107" s="752"/>
      <c r="F107" s="583"/>
      <c r="G107" s="752"/>
      <c r="H107" s="263">
        <v>55.55</v>
      </c>
      <c r="I107" s="752">
        <v>61</v>
      </c>
      <c r="J107" s="262"/>
      <c r="K107" s="262"/>
      <c r="L107" s="262"/>
    </row>
    <row r="108" spans="1:36" s="149" customFormat="1" x14ac:dyDescent="0.25">
      <c r="A108" s="699" t="s">
        <v>79</v>
      </c>
      <c r="B108" s="688" t="s">
        <v>167</v>
      </c>
      <c r="C108" s="266" t="s">
        <v>1208</v>
      </c>
      <c r="D108" s="263"/>
      <c r="E108" s="752"/>
      <c r="F108" s="583"/>
      <c r="G108" s="752"/>
      <c r="H108" s="263">
        <v>33.659999999999997</v>
      </c>
      <c r="I108" s="752">
        <v>0</v>
      </c>
      <c r="J108" s="262"/>
      <c r="K108" s="262"/>
      <c r="L108" s="262"/>
    </row>
    <row r="109" spans="1:36" s="149" customFormat="1" x14ac:dyDescent="0.25">
      <c r="A109" s="728" t="s">
        <v>80</v>
      </c>
      <c r="B109" s="729" t="s">
        <v>177</v>
      </c>
      <c r="C109" s="285" t="s">
        <v>1208</v>
      </c>
      <c r="D109" s="286"/>
      <c r="E109" s="760"/>
      <c r="F109" s="594"/>
      <c r="G109" s="760"/>
      <c r="H109" s="286">
        <v>33.659999999999997</v>
      </c>
      <c r="I109" s="760">
        <v>0</v>
      </c>
      <c r="J109" s="288"/>
      <c r="K109" s="262"/>
      <c r="L109" s="262"/>
    </row>
    <row r="110" spans="1:36" s="149" customFormat="1" x14ac:dyDescent="0.25">
      <c r="A110" s="699" t="s">
        <v>81</v>
      </c>
      <c r="B110" s="688" t="s">
        <v>180</v>
      </c>
      <c r="C110" s="262" t="s">
        <v>1208</v>
      </c>
      <c r="D110" s="263"/>
      <c r="E110" s="752"/>
      <c r="F110" s="583"/>
      <c r="G110" s="752"/>
      <c r="H110" s="263">
        <v>33.659999999999997</v>
      </c>
      <c r="I110" s="752">
        <v>0</v>
      </c>
      <c r="J110" s="262"/>
      <c r="K110" s="262"/>
      <c r="L110" s="262"/>
    </row>
    <row r="111" spans="1:36" s="149" customFormat="1" x14ac:dyDescent="0.25">
      <c r="A111" s="699" t="s">
        <v>82</v>
      </c>
      <c r="B111" s="688" t="s">
        <v>179</v>
      </c>
      <c r="C111" s="262" t="s">
        <v>1208</v>
      </c>
      <c r="D111" s="263"/>
      <c r="E111" s="752"/>
      <c r="F111" s="583"/>
      <c r="G111" s="752"/>
      <c r="H111" s="263">
        <v>33.659999999999997</v>
      </c>
      <c r="I111" s="752">
        <v>8</v>
      </c>
      <c r="J111" s="262"/>
      <c r="K111" s="262"/>
      <c r="L111" s="262"/>
    </row>
    <row r="112" spans="1:36" s="149" customFormat="1" x14ac:dyDescent="0.25">
      <c r="A112" s="699" t="s">
        <v>83</v>
      </c>
      <c r="B112" s="688" t="s">
        <v>178</v>
      </c>
      <c r="C112" s="262" t="s">
        <v>1208</v>
      </c>
      <c r="D112" s="263"/>
      <c r="E112" s="752"/>
      <c r="F112" s="583"/>
      <c r="G112" s="752"/>
      <c r="H112" s="263">
        <v>170.49</v>
      </c>
      <c r="I112" s="752">
        <v>245</v>
      </c>
      <c r="J112" s="262"/>
      <c r="K112" s="262"/>
      <c r="L112" s="262"/>
    </row>
    <row r="113" spans="1:12" s="149" customFormat="1" x14ac:dyDescent="0.25">
      <c r="A113" s="699" t="s">
        <v>84</v>
      </c>
      <c r="B113" s="688" t="s">
        <v>175</v>
      </c>
      <c r="C113" s="262" t="s">
        <v>1208</v>
      </c>
      <c r="D113" s="263"/>
      <c r="E113" s="752"/>
      <c r="F113" s="583"/>
      <c r="G113" s="752"/>
      <c r="H113" s="263">
        <v>33.659999999999997</v>
      </c>
      <c r="I113" s="752">
        <v>4</v>
      </c>
      <c r="J113" s="262"/>
      <c r="K113" s="262"/>
      <c r="L113" s="262"/>
    </row>
    <row r="114" spans="1:12" s="149" customFormat="1" x14ac:dyDescent="0.25">
      <c r="A114" s="699" t="s">
        <v>85</v>
      </c>
      <c r="B114" s="688" t="s">
        <v>184</v>
      </c>
      <c r="C114" s="262" t="s">
        <v>1208</v>
      </c>
      <c r="D114" s="263"/>
      <c r="E114" s="752"/>
      <c r="F114" s="583"/>
      <c r="G114" s="752"/>
      <c r="H114" s="263">
        <v>33.659999999999997</v>
      </c>
      <c r="I114" s="752">
        <v>0</v>
      </c>
      <c r="J114" s="262"/>
      <c r="K114" s="262"/>
      <c r="L114" s="262"/>
    </row>
    <row r="115" spans="1:12" s="149" customFormat="1" x14ac:dyDescent="0.25">
      <c r="A115" s="699" t="s">
        <v>86</v>
      </c>
      <c r="B115" s="688" t="s">
        <v>185</v>
      </c>
      <c r="C115" s="262" t="s">
        <v>1208</v>
      </c>
      <c r="D115" s="263"/>
      <c r="E115" s="752"/>
      <c r="F115" s="583"/>
      <c r="G115" s="752"/>
      <c r="H115" s="263">
        <v>103.64</v>
      </c>
      <c r="I115" s="752">
        <v>142</v>
      </c>
      <c r="J115" s="262"/>
      <c r="K115" s="262"/>
      <c r="L115" s="262"/>
    </row>
    <row r="116" spans="1:12" s="149" customFormat="1" x14ac:dyDescent="0.25">
      <c r="A116" s="699" t="s">
        <v>87</v>
      </c>
      <c r="B116" s="688" t="s">
        <v>181</v>
      </c>
      <c r="C116" s="262" t="s">
        <v>1208</v>
      </c>
      <c r="D116" s="263"/>
      <c r="E116" s="752"/>
      <c r="F116" s="583"/>
      <c r="G116" s="752"/>
      <c r="H116" s="263">
        <v>33.659999999999997</v>
      </c>
      <c r="I116" s="752">
        <v>5</v>
      </c>
      <c r="J116" s="262"/>
      <c r="K116" s="262"/>
      <c r="L116" s="262"/>
    </row>
    <row r="117" spans="1:12" s="149" customFormat="1" x14ac:dyDescent="0.25">
      <c r="A117" s="699" t="s">
        <v>88</v>
      </c>
      <c r="B117" s="688" t="s">
        <v>172</v>
      </c>
      <c r="C117" s="262" t="s">
        <v>1208</v>
      </c>
      <c r="D117" s="263"/>
      <c r="E117" s="752"/>
      <c r="F117" s="583"/>
      <c r="G117" s="752"/>
      <c r="H117" s="263">
        <v>1656.78</v>
      </c>
      <c r="I117" s="752">
        <v>2200</v>
      </c>
      <c r="J117" s="262"/>
      <c r="K117" s="262"/>
      <c r="L117" s="262"/>
    </row>
    <row r="118" spans="1:12" s="149" customFormat="1" x14ac:dyDescent="0.25">
      <c r="A118" s="699" t="s">
        <v>89</v>
      </c>
      <c r="B118" s="688" t="s">
        <v>173</v>
      </c>
      <c r="C118" s="262" t="s">
        <v>1208</v>
      </c>
      <c r="D118" s="263"/>
      <c r="E118" s="752"/>
      <c r="F118" s="583"/>
      <c r="G118" s="752"/>
      <c r="H118" s="263">
        <v>358.58</v>
      </c>
      <c r="I118" s="752">
        <v>503</v>
      </c>
      <c r="J118" s="262"/>
      <c r="K118" s="262"/>
      <c r="L118" s="262"/>
    </row>
    <row r="119" spans="1:12" s="149" customFormat="1" x14ac:dyDescent="0.25">
      <c r="A119" s="699" t="s">
        <v>90</v>
      </c>
      <c r="B119" s="688" t="s">
        <v>174</v>
      </c>
      <c r="C119" s="262" t="s">
        <v>1208</v>
      </c>
      <c r="D119" s="263"/>
      <c r="E119" s="752"/>
      <c r="F119" s="583"/>
      <c r="G119" s="752"/>
      <c r="H119" s="263">
        <v>33.659999999999997</v>
      </c>
      <c r="I119" s="752">
        <v>14</v>
      </c>
      <c r="J119" s="262"/>
      <c r="K119" s="262"/>
      <c r="L119" s="262"/>
    </row>
    <row r="120" spans="1:12" s="149" customFormat="1" x14ac:dyDescent="0.25">
      <c r="A120" s="699" t="s">
        <v>91</v>
      </c>
      <c r="B120" s="688" t="s">
        <v>182</v>
      </c>
      <c r="C120" s="262" t="s">
        <v>1208</v>
      </c>
      <c r="D120" s="263"/>
      <c r="E120" s="752"/>
      <c r="F120" s="583"/>
      <c r="G120" s="752"/>
      <c r="H120" s="263">
        <v>128.94999999999999</v>
      </c>
      <c r="I120" s="752">
        <v>181</v>
      </c>
      <c r="J120" s="262"/>
      <c r="K120" s="262"/>
      <c r="L120" s="262"/>
    </row>
    <row r="121" spans="1:12" s="149" customFormat="1" x14ac:dyDescent="0.25">
      <c r="A121" s="699" t="s">
        <v>92</v>
      </c>
      <c r="B121" s="688" t="s">
        <v>186</v>
      </c>
      <c r="C121" s="262" t="s">
        <v>1208</v>
      </c>
      <c r="D121" s="263"/>
      <c r="E121" s="752"/>
      <c r="F121" s="583"/>
      <c r="G121" s="752"/>
      <c r="H121" s="263">
        <v>33.659999999999997</v>
      </c>
      <c r="I121" s="752">
        <v>17</v>
      </c>
      <c r="J121" s="262"/>
      <c r="K121" s="262"/>
      <c r="L121" s="262"/>
    </row>
    <row r="122" spans="1:12" s="149" customFormat="1" x14ac:dyDescent="0.25">
      <c r="A122" s="699" t="s">
        <v>93</v>
      </c>
      <c r="B122" s="688" t="s">
        <v>183</v>
      </c>
      <c r="C122" s="262" t="s">
        <v>1208</v>
      </c>
      <c r="D122" s="263"/>
      <c r="E122" s="752"/>
      <c r="F122" s="583"/>
      <c r="G122" s="752"/>
      <c r="H122" s="263">
        <v>33.659999999999997</v>
      </c>
      <c r="I122" s="752">
        <v>0</v>
      </c>
      <c r="J122" s="262"/>
      <c r="K122" s="262"/>
      <c r="L122" s="262"/>
    </row>
    <row r="123" spans="1:12" s="149" customFormat="1" x14ac:dyDescent="0.25">
      <c r="A123" s="699" t="s">
        <v>103</v>
      </c>
      <c r="B123" s="688" t="s">
        <v>194</v>
      </c>
      <c r="C123" s="262" t="s">
        <v>1208</v>
      </c>
      <c r="D123" s="263"/>
      <c r="E123" s="752"/>
      <c r="F123" s="583"/>
      <c r="G123" s="752"/>
      <c r="H123" s="263">
        <v>51.48</v>
      </c>
      <c r="I123" s="752">
        <v>3</v>
      </c>
      <c r="J123" s="262"/>
      <c r="K123" s="262"/>
      <c r="L123" s="262"/>
    </row>
    <row r="124" spans="1:12" s="149" customFormat="1" ht="26.25" x14ac:dyDescent="0.25">
      <c r="A124" s="699" t="s">
        <v>983</v>
      </c>
      <c r="B124" s="688" t="s">
        <v>981</v>
      </c>
      <c r="C124" s="262" t="s">
        <v>1208</v>
      </c>
      <c r="D124" s="263"/>
      <c r="E124" s="752"/>
      <c r="F124" s="583"/>
      <c r="G124" s="752"/>
      <c r="H124" s="263">
        <v>33.659999999999997</v>
      </c>
      <c r="I124" s="752">
        <v>0</v>
      </c>
      <c r="J124" s="262"/>
      <c r="K124" s="262"/>
      <c r="L124" s="262"/>
    </row>
    <row r="125" spans="1:12" s="149" customFormat="1" x14ac:dyDescent="0.25">
      <c r="A125" s="699" t="s">
        <v>1153</v>
      </c>
      <c r="B125" s="688" t="s">
        <v>196</v>
      </c>
      <c r="C125" s="262" t="s">
        <v>1208</v>
      </c>
      <c r="D125" s="263"/>
      <c r="E125" s="752"/>
      <c r="F125" s="583"/>
      <c r="G125" s="752"/>
      <c r="H125" s="263">
        <v>64.91</v>
      </c>
      <c r="I125" s="752">
        <v>38</v>
      </c>
      <c r="J125" s="262"/>
      <c r="K125" s="262"/>
      <c r="L125" s="262"/>
    </row>
    <row r="126" spans="1:12" s="371" customFormat="1" x14ac:dyDescent="0.25">
      <c r="A126" s="779" t="s">
        <v>1076</v>
      </c>
      <c r="B126" s="780" t="s">
        <v>166</v>
      </c>
      <c r="C126" s="367"/>
      <c r="D126" s="368"/>
      <c r="E126" s="781"/>
      <c r="F126" s="654"/>
      <c r="G126" s="781"/>
      <c r="H126" s="368">
        <v>109.97</v>
      </c>
      <c r="I126" s="781">
        <v>150</v>
      </c>
      <c r="J126" s="367"/>
      <c r="K126" s="367"/>
      <c r="L126" s="367"/>
    </row>
    <row r="127" spans="1:12" s="149" customFormat="1" x14ac:dyDescent="0.25">
      <c r="A127" s="699" t="s">
        <v>1077</v>
      </c>
      <c r="B127" s="688" t="s">
        <v>193</v>
      </c>
      <c r="C127" s="262" t="s">
        <v>1208</v>
      </c>
      <c r="D127" s="263"/>
      <c r="E127" s="752"/>
      <c r="F127" s="583"/>
      <c r="G127" s="752"/>
      <c r="H127" s="263">
        <v>33.659999999999997</v>
      </c>
      <c r="I127" s="752">
        <v>12</v>
      </c>
      <c r="J127" s="262"/>
      <c r="K127" s="262"/>
      <c r="L127" s="262"/>
    </row>
    <row r="128" spans="1:12" s="149" customFormat="1" x14ac:dyDescent="0.25">
      <c r="A128" s="699" t="s">
        <v>1075</v>
      </c>
      <c r="B128" s="688" t="s">
        <v>192</v>
      </c>
      <c r="C128" s="262" t="s">
        <v>1208</v>
      </c>
      <c r="D128" s="263"/>
      <c r="E128" s="752"/>
      <c r="F128" s="583"/>
      <c r="G128" s="752"/>
      <c r="H128" s="263">
        <v>33.659999999999997</v>
      </c>
      <c r="I128" s="752">
        <v>0</v>
      </c>
      <c r="J128" s="262"/>
      <c r="K128" s="262"/>
      <c r="L128" s="262"/>
    </row>
    <row r="129" spans="1:36" s="149" customFormat="1" x14ac:dyDescent="0.25">
      <c r="A129" s="699" t="s">
        <v>1066</v>
      </c>
      <c r="B129" s="688" t="s">
        <v>139</v>
      </c>
      <c r="C129" s="262" t="s">
        <v>1216</v>
      </c>
      <c r="D129" s="263"/>
      <c r="E129" s="752"/>
      <c r="F129" s="583"/>
      <c r="G129" s="752"/>
      <c r="H129" s="263">
        <v>53.42</v>
      </c>
      <c r="I129" s="752">
        <v>57</v>
      </c>
      <c r="J129" s="262"/>
      <c r="K129" s="262"/>
      <c r="L129" s="262"/>
    </row>
    <row r="130" spans="1:36" s="149" customFormat="1" x14ac:dyDescent="0.25">
      <c r="A130" s="699" t="s">
        <v>64</v>
      </c>
      <c r="B130" s="688" t="s">
        <v>191</v>
      </c>
      <c r="C130" s="266" t="s">
        <v>1208</v>
      </c>
      <c r="D130" s="263"/>
      <c r="E130" s="752"/>
      <c r="F130" s="583"/>
      <c r="G130" s="752"/>
      <c r="H130" s="263">
        <v>349.38</v>
      </c>
      <c r="I130" s="752">
        <v>357</v>
      </c>
      <c r="J130" s="262"/>
      <c r="K130" s="262"/>
      <c r="L130" s="262"/>
    </row>
    <row r="131" spans="1:36" s="149" customFormat="1" x14ac:dyDescent="0.25">
      <c r="A131" s="699" t="s">
        <v>1093</v>
      </c>
      <c r="B131" s="688" t="s">
        <v>131</v>
      </c>
      <c r="C131" s="262" t="s">
        <v>1216</v>
      </c>
      <c r="D131" s="263"/>
      <c r="E131" s="752"/>
      <c r="F131" s="583"/>
      <c r="G131" s="752"/>
      <c r="H131" s="263">
        <v>2621.45</v>
      </c>
      <c r="I131" s="752">
        <v>3461</v>
      </c>
      <c r="J131" s="262"/>
      <c r="K131" s="262"/>
      <c r="L131" s="262"/>
    </row>
    <row r="132" spans="1:36" s="149" customFormat="1" x14ac:dyDescent="0.25">
      <c r="A132" s="699" t="s">
        <v>1092</v>
      </c>
      <c r="B132" s="688" t="s">
        <v>133</v>
      </c>
      <c r="C132" s="262" t="s">
        <v>1216</v>
      </c>
      <c r="D132" s="263"/>
      <c r="E132" s="752"/>
      <c r="F132" s="583"/>
      <c r="G132" s="752"/>
      <c r="H132" s="263">
        <v>66.23</v>
      </c>
      <c r="I132" s="752">
        <v>81</v>
      </c>
      <c r="J132" s="262"/>
      <c r="K132" s="262"/>
      <c r="L132" s="262"/>
    </row>
    <row r="133" spans="1:36" s="149" customFormat="1" x14ac:dyDescent="0.25">
      <c r="A133" s="700" t="s">
        <v>309</v>
      </c>
      <c r="B133" s="688" t="s">
        <v>135</v>
      </c>
      <c r="C133" s="262" t="s">
        <v>1216</v>
      </c>
      <c r="D133" s="263"/>
      <c r="E133" s="752"/>
      <c r="F133" s="583"/>
      <c r="G133" s="752"/>
      <c r="H133" s="263">
        <v>1818.2</v>
      </c>
      <c r="I133" s="752">
        <v>2411</v>
      </c>
      <c r="J133" s="262"/>
      <c r="K133" s="262"/>
      <c r="L133" s="262"/>
    </row>
    <row r="134" spans="1:36" s="149" customFormat="1" x14ac:dyDescent="0.25">
      <c r="A134" s="700" t="s">
        <v>1091</v>
      </c>
      <c r="B134" s="688" t="s">
        <v>138</v>
      </c>
      <c r="C134" s="262" t="s">
        <v>1216</v>
      </c>
      <c r="D134" s="263"/>
      <c r="E134" s="752"/>
      <c r="F134" s="583"/>
      <c r="G134" s="752"/>
      <c r="H134" s="263">
        <v>33.659999999999997</v>
      </c>
      <c r="I134" s="752">
        <v>3</v>
      </c>
      <c r="J134" s="262"/>
      <c r="K134" s="262"/>
      <c r="L134" s="262"/>
    </row>
    <row r="135" spans="1:36" s="149" customFormat="1" x14ac:dyDescent="0.25">
      <c r="A135" s="699" t="s">
        <v>1090</v>
      </c>
      <c r="B135" s="688" t="s">
        <v>141</v>
      </c>
      <c r="C135" s="262" t="s">
        <v>1216</v>
      </c>
      <c r="D135" s="263"/>
      <c r="E135" s="752"/>
      <c r="F135" s="583"/>
      <c r="G135" s="752"/>
      <c r="H135" s="263">
        <v>33.659999999999997</v>
      </c>
      <c r="I135" s="752">
        <v>0</v>
      </c>
      <c r="J135" s="262"/>
      <c r="K135" s="262"/>
      <c r="L135" s="262"/>
    </row>
    <row r="136" spans="1:36" s="149" customFormat="1" x14ac:dyDescent="0.25">
      <c r="A136" s="699" t="s">
        <v>1089</v>
      </c>
      <c r="B136" s="688" t="s">
        <v>143</v>
      </c>
      <c r="C136" s="266" t="s">
        <v>1216</v>
      </c>
      <c r="D136" s="263"/>
      <c r="E136" s="752"/>
      <c r="F136" s="583"/>
      <c r="G136" s="752"/>
      <c r="H136" s="263">
        <v>33.659999999999997</v>
      </c>
      <c r="I136" s="752">
        <v>15</v>
      </c>
      <c r="J136" s="262"/>
      <c r="K136" s="262"/>
      <c r="L136" s="262"/>
    </row>
    <row r="137" spans="1:36" s="149" customFormat="1" x14ac:dyDescent="0.25">
      <c r="A137" s="699" t="s">
        <v>1088</v>
      </c>
      <c r="B137" s="688" t="s">
        <v>145</v>
      </c>
      <c r="C137" s="262" t="s">
        <v>1216</v>
      </c>
      <c r="D137" s="263"/>
      <c r="E137" s="752"/>
      <c r="F137" s="583"/>
      <c r="G137" s="752"/>
      <c r="H137" s="263">
        <v>468.74</v>
      </c>
      <c r="I137" s="752">
        <v>647</v>
      </c>
      <c r="J137" s="262"/>
      <c r="K137" s="262"/>
      <c r="L137" s="262"/>
    </row>
    <row r="138" spans="1:36" s="149" customFormat="1" x14ac:dyDescent="0.25">
      <c r="A138" s="699" t="s">
        <v>1086</v>
      </c>
      <c r="B138" s="688" t="s">
        <v>147</v>
      </c>
      <c r="C138" s="262" t="s">
        <v>1216</v>
      </c>
      <c r="D138" s="263"/>
      <c r="E138" s="752"/>
      <c r="F138" s="583"/>
      <c r="G138" s="752"/>
      <c r="H138" s="263">
        <v>379.23</v>
      </c>
      <c r="I138" s="752">
        <v>530</v>
      </c>
      <c r="J138" s="262"/>
      <c r="K138" s="262"/>
      <c r="L138" s="262"/>
    </row>
    <row r="139" spans="1:36" s="371" customFormat="1" x14ac:dyDescent="0.25">
      <c r="A139" s="779" t="s">
        <v>176</v>
      </c>
      <c r="B139" s="782" t="s">
        <v>165</v>
      </c>
      <c r="C139" s="367"/>
      <c r="D139" s="368"/>
      <c r="E139" s="781"/>
      <c r="F139" s="654"/>
      <c r="G139" s="781"/>
      <c r="H139" s="368">
        <v>485.69</v>
      </c>
      <c r="I139" s="781">
        <v>740</v>
      </c>
      <c r="J139" s="367"/>
      <c r="K139" s="367"/>
      <c r="L139" s="367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107</v>
      </c>
      <c r="B141" s="688">
        <v>67</v>
      </c>
      <c r="C141" s="266" t="s">
        <v>1210</v>
      </c>
      <c r="D141" s="263"/>
      <c r="E141" s="752"/>
      <c r="F141" s="583"/>
      <c r="G141" s="752"/>
      <c r="H141" s="263">
        <v>50</v>
      </c>
      <c r="I141" s="752">
        <v>100</v>
      </c>
      <c r="J141" s="262"/>
      <c r="K141" s="262"/>
      <c r="L141" s="262"/>
    </row>
    <row r="142" spans="1:36" s="149" customFormat="1" x14ac:dyDescent="0.25">
      <c r="A142" s="699" t="s">
        <v>109</v>
      </c>
      <c r="B142" s="727">
        <v>95</v>
      </c>
      <c r="C142" s="262" t="s">
        <v>1210</v>
      </c>
      <c r="D142" s="263"/>
      <c r="E142" s="752"/>
      <c r="F142" s="583"/>
      <c r="G142" s="752"/>
      <c r="H142" s="263">
        <v>62.5</v>
      </c>
      <c r="I142" s="752">
        <v>700</v>
      </c>
      <c r="J142" s="262"/>
      <c r="K142" s="262"/>
      <c r="L142" s="262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9" t="s">
        <v>1137</v>
      </c>
      <c r="B144" s="689">
        <v>61</v>
      </c>
      <c r="C144" s="266">
        <v>43322</v>
      </c>
      <c r="D144" s="263"/>
      <c r="E144" s="752"/>
      <c r="F144" s="583"/>
      <c r="G144" s="752"/>
      <c r="H144" s="263">
        <v>35.18</v>
      </c>
      <c r="I144" s="752">
        <v>30</v>
      </c>
      <c r="J144" s="262"/>
      <c r="K144" s="262"/>
      <c r="L144" s="262"/>
    </row>
    <row r="145" spans="1:36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36" s="149" customFormat="1" ht="26.25" x14ac:dyDescent="0.25">
      <c r="A146" s="699" t="s">
        <v>40</v>
      </c>
      <c r="B146" s="689">
        <v>95</v>
      </c>
      <c r="C146" s="266" t="s">
        <v>1209</v>
      </c>
      <c r="D146" s="263"/>
      <c r="E146" s="752"/>
      <c r="F146" s="583"/>
      <c r="G146" s="752"/>
      <c r="H146" s="263">
        <v>20</v>
      </c>
      <c r="I146" s="752">
        <v>700</v>
      </c>
      <c r="J146" s="262"/>
      <c r="K146" s="262"/>
      <c r="L146" s="262"/>
    </row>
    <row r="147" spans="1:36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371" customFormat="1" x14ac:dyDescent="0.25">
      <c r="A148" s="779" t="s">
        <v>355</v>
      </c>
      <c r="B148" s="783"/>
      <c r="C148" s="656"/>
      <c r="D148" s="368"/>
      <c r="E148" s="781"/>
      <c r="F148" s="654"/>
      <c r="G148" s="781"/>
      <c r="H148" s="368">
        <v>196.81</v>
      </c>
      <c r="I148" s="781"/>
      <c r="J148" s="367"/>
      <c r="K148" s="367"/>
      <c r="L148" s="367"/>
    </row>
    <row r="149" spans="1:36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8" sqref="D2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1211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76"/>
      <c r="B4" s="777"/>
      <c r="C4" s="777"/>
      <c r="D4" s="777"/>
      <c r="E4" s="777"/>
      <c r="F4" s="777"/>
      <c r="G4" s="77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325916.89600000001</v>
      </c>
      <c r="D13" s="34"/>
      <c r="E13" s="35" t="s">
        <v>33</v>
      </c>
      <c r="F13" s="34"/>
      <c r="G13" s="42">
        <v>34274.29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1014</v>
      </c>
      <c r="D15" s="34"/>
      <c r="E15" s="35" t="s">
        <v>10</v>
      </c>
      <c r="F15" s="34"/>
      <c r="G15" s="42">
        <v>902.66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13677</v>
      </c>
      <c r="D17" s="34"/>
      <c r="E17" s="35" t="s">
        <v>278</v>
      </c>
      <c r="F17" s="34"/>
      <c r="G17" s="42">
        <v>9822.17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2158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54"/>
      <c r="B4" s="1055"/>
      <c r="C4" s="1055"/>
      <c r="D4" s="1055"/>
      <c r="E4" s="1055"/>
      <c r="F4" s="1055"/>
      <c r="G4" s="105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204207</v>
      </c>
      <c r="D13" s="34"/>
      <c r="E13" s="35" t="s">
        <v>33</v>
      </c>
      <c r="F13" s="34"/>
      <c r="G13" s="42">
        <v>21503.88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2338</v>
      </c>
      <c r="D15" s="34"/>
      <c r="E15" s="35" t="s">
        <v>10</v>
      </c>
      <c r="F15" s="34"/>
      <c r="G15" s="42">
        <v>2550.6799999999998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188505</v>
      </c>
      <c r="D17" s="34"/>
      <c r="E17" s="35" t="s">
        <v>278</v>
      </c>
      <c r="F17" s="34"/>
      <c r="G17" s="42">
        <v>6642.02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21" activePane="bottomLeft" state="frozen"/>
      <selection pane="bottomLeft" activeCell="E1" sqref="E1:E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1190</v>
      </c>
      <c r="D3" s="257"/>
      <c r="E3" s="751"/>
      <c r="F3" s="586">
        <v>92.99</v>
      </c>
      <c r="G3" s="751">
        <v>708</v>
      </c>
      <c r="H3" s="257"/>
      <c r="I3" s="751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688">
        <v>3026210376</v>
      </c>
      <c r="C4" s="262" t="s">
        <v>1191</v>
      </c>
      <c r="D4" s="263"/>
      <c r="E4" s="752"/>
      <c r="F4" s="583">
        <v>53.06</v>
      </c>
      <c r="G4" s="752">
        <v>14</v>
      </c>
      <c r="H4" s="263"/>
      <c r="I4" s="752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21">
        <v>3039472917</v>
      </c>
      <c r="C5" s="256" t="s">
        <v>1189</v>
      </c>
      <c r="D5" s="257"/>
      <c r="E5" s="751"/>
      <c r="F5" s="586">
        <v>54.9</v>
      </c>
      <c r="G5" s="751">
        <v>17</v>
      </c>
      <c r="H5" s="257"/>
      <c r="I5" s="751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688">
        <v>4005211270</v>
      </c>
      <c r="C6" s="262" t="s">
        <v>1191</v>
      </c>
      <c r="D6" s="263"/>
      <c r="E6" s="752"/>
      <c r="F6" s="583">
        <v>93.97</v>
      </c>
      <c r="G6" s="752">
        <v>81</v>
      </c>
      <c r="H6" s="263"/>
      <c r="I6" s="752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1190</v>
      </c>
      <c r="D7" s="263"/>
      <c r="E7" s="752"/>
      <c r="F7" s="583">
        <v>72.459999999999994</v>
      </c>
      <c r="G7" s="752">
        <v>20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1190</v>
      </c>
      <c r="D8" s="263"/>
      <c r="E8" s="752"/>
      <c r="F8" s="583">
        <v>62</v>
      </c>
      <c r="G8" s="752">
        <v>1</v>
      </c>
      <c r="H8" s="263"/>
      <c r="I8" s="752"/>
      <c r="J8" s="262" t="s">
        <v>10</v>
      </c>
      <c r="K8" s="262"/>
      <c r="L8" s="262"/>
    </row>
    <row r="9" spans="1:36" s="149" customFormat="1" x14ac:dyDescent="0.25">
      <c r="A9" s="699" t="s">
        <v>44</v>
      </c>
      <c r="B9" s="688">
        <v>3039640691</v>
      </c>
      <c r="C9" s="262" t="s">
        <v>1192</v>
      </c>
      <c r="D9" s="263"/>
      <c r="E9" s="752"/>
      <c r="F9" s="583">
        <v>49.4</v>
      </c>
      <c r="G9" s="752" t="s">
        <v>1197</v>
      </c>
      <c r="H9" s="263"/>
      <c r="I9" s="752"/>
      <c r="J9" s="262" t="s">
        <v>10</v>
      </c>
      <c r="K9" s="262"/>
      <c r="L9" s="262"/>
    </row>
    <row r="10" spans="1:36" s="149" customFormat="1" x14ac:dyDescent="0.25">
      <c r="A10" s="699" t="s">
        <v>43</v>
      </c>
      <c r="B10" s="688">
        <v>3039782225</v>
      </c>
      <c r="C10" s="262" t="s">
        <v>1192</v>
      </c>
      <c r="D10" s="263"/>
      <c r="E10" s="752"/>
      <c r="F10" s="583">
        <v>63.44</v>
      </c>
      <c r="G10" s="752">
        <v>31</v>
      </c>
      <c r="H10" s="263"/>
      <c r="I10" s="752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688">
        <v>3039618715</v>
      </c>
      <c r="C11" s="271" t="s">
        <v>1190</v>
      </c>
      <c r="D11" s="263"/>
      <c r="E11" s="752"/>
      <c r="F11" s="583">
        <v>61.45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688">
        <v>3023189549</v>
      </c>
      <c r="C12" s="262" t="s">
        <v>1191</v>
      </c>
      <c r="D12" s="263"/>
      <c r="E12" s="752"/>
      <c r="F12" s="583">
        <v>44.51</v>
      </c>
      <c r="G12" s="752">
        <v>0</v>
      </c>
      <c r="H12" s="263"/>
      <c r="I12" s="752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688">
        <v>3034878837</v>
      </c>
      <c r="C13" s="262" t="s">
        <v>1191</v>
      </c>
      <c r="D13" s="263"/>
      <c r="E13" s="752"/>
      <c r="F13" s="583">
        <v>54.28</v>
      </c>
      <c r="G13" s="752">
        <v>16</v>
      </c>
      <c r="H13" s="263"/>
      <c r="I13" s="752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688">
        <v>3025670416</v>
      </c>
      <c r="C14" s="262" t="s">
        <v>1191</v>
      </c>
      <c r="D14" s="263"/>
      <c r="E14" s="752"/>
      <c r="F14" s="583">
        <v>48.77</v>
      </c>
      <c r="G14" s="752">
        <v>7</v>
      </c>
      <c r="H14" s="263"/>
      <c r="I14" s="752"/>
      <c r="J14" s="262" t="s">
        <v>10</v>
      </c>
      <c r="K14" s="262"/>
      <c r="L14" s="262"/>
    </row>
    <row r="15" spans="1:36" s="149" customFormat="1" x14ac:dyDescent="0.25">
      <c r="A15" s="699" t="s">
        <v>65</v>
      </c>
      <c r="B15" s="688">
        <v>3023110891</v>
      </c>
      <c r="C15" s="262" t="s">
        <v>1191</v>
      </c>
      <c r="D15" s="263"/>
      <c r="E15" s="752"/>
      <c r="F15" s="583">
        <v>69.73</v>
      </c>
      <c r="G15" s="752">
        <v>96</v>
      </c>
      <c r="H15" s="263"/>
      <c r="I15" s="752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688">
        <v>3022125574</v>
      </c>
      <c r="C16" s="262" t="s">
        <v>1195</v>
      </c>
      <c r="D16" s="263"/>
      <c r="E16" s="752"/>
      <c r="F16" s="583">
        <v>37.18</v>
      </c>
      <c r="G16" s="752">
        <v>23</v>
      </c>
      <c r="H16" s="263"/>
      <c r="I16" s="752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688">
        <v>3022125841</v>
      </c>
      <c r="C17" s="266" t="s">
        <v>1195</v>
      </c>
      <c r="D17" s="263"/>
      <c r="E17" s="752"/>
      <c r="F17" s="583">
        <v>44.52</v>
      </c>
      <c r="G17" s="752">
        <v>0</v>
      </c>
      <c r="H17" s="263"/>
      <c r="I17" s="752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1201</v>
      </c>
      <c r="D19" s="572">
        <v>31.51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565" customFormat="1" ht="15.75" x14ac:dyDescent="0.25">
      <c r="A20" s="685" t="s">
        <v>831</v>
      </c>
      <c r="B20" s="685">
        <v>5216006440</v>
      </c>
      <c r="C20" s="563" t="s">
        <v>1201</v>
      </c>
      <c r="D20" s="572">
        <v>227.1</v>
      </c>
      <c r="E20" s="755">
        <v>640</v>
      </c>
      <c r="F20" s="604"/>
      <c r="G20" s="755"/>
      <c r="H20" s="572"/>
      <c r="I20" s="755"/>
      <c r="J20" s="563"/>
      <c r="K20" s="563" t="s">
        <v>777</v>
      </c>
      <c r="L20" s="563">
        <v>5216006440</v>
      </c>
    </row>
    <row r="21" spans="1:36" s="565" customFormat="1" ht="15.75" x14ac:dyDescent="0.25">
      <c r="A21" s="685" t="s">
        <v>830</v>
      </c>
      <c r="B21" s="685">
        <v>5216006441</v>
      </c>
      <c r="C21" s="563" t="s">
        <v>1201</v>
      </c>
      <c r="D21" s="572">
        <v>1022.07</v>
      </c>
      <c r="E21" s="755">
        <v>4560</v>
      </c>
      <c r="F21" s="604"/>
      <c r="G21" s="755"/>
      <c r="H21" s="572"/>
      <c r="I21" s="755"/>
      <c r="J21" s="563"/>
      <c r="K21" s="563" t="s">
        <v>778</v>
      </c>
      <c r="L21" s="563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/>
      <c r="D22" s="618"/>
      <c r="E22" s="754"/>
      <c r="F22" s="548"/>
      <c r="G22" s="754"/>
      <c r="H22" s="618"/>
      <c r="I22" s="754"/>
      <c r="J22" s="546"/>
      <c r="K22" s="546" t="s">
        <v>894</v>
      </c>
      <c r="L22" s="546">
        <v>5216006442</v>
      </c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</row>
    <row r="23" spans="1:36" s="565" customFormat="1" ht="15.75" x14ac:dyDescent="0.25">
      <c r="A23" s="685" t="s">
        <v>828</v>
      </c>
      <c r="B23" s="685">
        <v>5216006443</v>
      </c>
      <c r="C23" s="563" t="s">
        <v>1201</v>
      </c>
      <c r="D23" s="572">
        <v>19.079999999999998</v>
      </c>
      <c r="E23" s="755">
        <v>70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565" customFormat="1" ht="15.75" x14ac:dyDescent="0.25">
      <c r="A24" s="685" t="s">
        <v>873</v>
      </c>
      <c r="B24" s="685">
        <v>5216006444</v>
      </c>
      <c r="C24" s="563" t="s">
        <v>1198</v>
      </c>
      <c r="D24" s="572">
        <v>280.98</v>
      </c>
      <c r="E24" s="755">
        <v>2727</v>
      </c>
      <c r="F24" s="604"/>
      <c r="G24" s="755"/>
      <c r="H24" s="572"/>
      <c r="I24" s="755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685">
        <v>5216006446</v>
      </c>
      <c r="C25" s="563" t="s">
        <v>1198</v>
      </c>
      <c r="D25" s="572">
        <v>8907.1200000000008</v>
      </c>
      <c r="E25" s="755">
        <v>103000</v>
      </c>
      <c r="F25" s="604"/>
      <c r="G25" s="755"/>
      <c r="H25" s="572"/>
      <c r="I25" s="755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685">
        <v>5216006447</v>
      </c>
      <c r="C26" s="563" t="s">
        <v>1201</v>
      </c>
      <c r="D26" s="572">
        <v>477.1</v>
      </c>
      <c r="E26" s="755">
        <v>4052</v>
      </c>
      <c r="F26" s="604"/>
      <c r="G26" s="755"/>
      <c r="H26" s="572"/>
      <c r="I26" s="755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685">
        <v>5216006448</v>
      </c>
      <c r="C27" s="563" t="s">
        <v>1198</v>
      </c>
      <c r="D27" s="572">
        <v>438.35</v>
      </c>
      <c r="E27" s="755">
        <v>900</v>
      </c>
      <c r="F27" s="604"/>
      <c r="G27" s="755"/>
      <c r="H27" s="572"/>
      <c r="I27" s="755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685">
        <v>5216006449</v>
      </c>
      <c r="C28" s="563" t="s">
        <v>1201</v>
      </c>
      <c r="D28" s="572">
        <v>483.56</v>
      </c>
      <c r="E28" s="755">
        <v>4000</v>
      </c>
      <c r="F28" s="604"/>
      <c r="G28" s="755"/>
      <c r="H28" s="572"/>
      <c r="I28" s="755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685">
        <v>5216006450</v>
      </c>
      <c r="C29" s="563" t="s">
        <v>1201</v>
      </c>
      <c r="D29" s="572">
        <v>1492.8</v>
      </c>
      <c r="E29" s="755">
        <v>14480</v>
      </c>
      <c r="F29" s="604"/>
      <c r="G29" s="755"/>
      <c r="H29" s="572"/>
      <c r="I29" s="755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685">
        <v>5216006451</v>
      </c>
      <c r="C30" s="563" t="s">
        <v>1201</v>
      </c>
      <c r="D30" s="572">
        <v>1065.42</v>
      </c>
      <c r="E30" s="755">
        <v>19669</v>
      </c>
      <c r="F30" s="604"/>
      <c r="G30" s="755"/>
      <c r="H30" s="572"/>
      <c r="I30" s="755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685">
        <v>5216006452</v>
      </c>
      <c r="C31" s="563" t="s">
        <v>1201</v>
      </c>
      <c r="D31" s="572">
        <v>2068.4699999999998</v>
      </c>
      <c r="E31" s="755">
        <v>21240</v>
      </c>
      <c r="F31" s="604"/>
      <c r="G31" s="755"/>
      <c r="H31" s="572"/>
      <c r="I31" s="755"/>
      <c r="J31" s="563"/>
      <c r="K31" s="563" t="s">
        <v>789</v>
      </c>
      <c r="L31" s="563">
        <v>5216006452</v>
      </c>
    </row>
    <row r="32" spans="1:36" s="565" customFormat="1" ht="27.75" customHeight="1" x14ac:dyDescent="0.25">
      <c r="A32" s="685" t="s">
        <v>872</v>
      </c>
      <c r="B32" s="685">
        <v>5216006453</v>
      </c>
      <c r="C32" s="563" t="s">
        <v>1201</v>
      </c>
      <c r="D32" s="572">
        <v>14</v>
      </c>
      <c r="E32" s="755">
        <v>8</v>
      </c>
      <c r="F32" s="604"/>
      <c r="G32" s="755"/>
      <c r="H32" s="572"/>
      <c r="I32" s="755"/>
      <c r="J32" s="563"/>
      <c r="K32" s="563" t="s">
        <v>790</v>
      </c>
      <c r="L32" s="563">
        <v>5216006453</v>
      </c>
    </row>
    <row r="33" spans="1:36" s="565" customFormat="1" ht="21" customHeight="1" x14ac:dyDescent="0.25">
      <c r="A33" s="685" t="s">
        <v>858</v>
      </c>
      <c r="B33" s="685">
        <v>5216006454</v>
      </c>
      <c r="C33" s="563" t="s">
        <v>1201</v>
      </c>
      <c r="D33" s="572">
        <v>29.32</v>
      </c>
      <c r="E33" s="755">
        <v>150</v>
      </c>
      <c r="F33" s="604"/>
      <c r="G33" s="755"/>
      <c r="H33" s="572"/>
      <c r="I33" s="755"/>
      <c r="J33" s="563"/>
      <c r="K33" s="563" t="s">
        <v>791</v>
      </c>
      <c r="L33" s="563">
        <v>5216006454</v>
      </c>
    </row>
    <row r="34" spans="1:36" s="565" customFormat="1" ht="21" customHeight="1" x14ac:dyDescent="0.25">
      <c r="A34" s="685" t="s">
        <v>870</v>
      </c>
      <c r="B34" s="685">
        <v>5216006456</v>
      </c>
      <c r="C34" s="563" t="s">
        <v>1201</v>
      </c>
      <c r="D34" s="572">
        <v>373.99</v>
      </c>
      <c r="E34" s="755">
        <v>3167</v>
      </c>
      <c r="F34" s="604"/>
      <c r="G34" s="755"/>
      <c r="H34" s="572"/>
      <c r="I34" s="755"/>
      <c r="J34" s="563"/>
      <c r="K34" s="563" t="s">
        <v>793</v>
      </c>
      <c r="L34" s="563">
        <v>5216006456</v>
      </c>
    </row>
    <row r="35" spans="1:36" s="565" customFormat="1" ht="15.75" x14ac:dyDescent="0.25">
      <c r="A35" s="685" t="s">
        <v>851</v>
      </c>
      <c r="B35" s="685">
        <v>5216006457</v>
      </c>
      <c r="C35" s="563" t="s">
        <v>1202</v>
      </c>
      <c r="D35" s="572">
        <v>217.75</v>
      </c>
      <c r="E35" s="755">
        <v>2063</v>
      </c>
      <c r="F35" s="604"/>
      <c r="G35" s="755"/>
      <c r="H35" s="572"/>
      <c r="I35" s="755"/>
      <c r="J35" s="563"/>
      <c r="K35" s="563" t="s">
        <v>794</v>
      </c>
      <c r="L35" s="563">
        <v>5216006457</v>
      </c>
    </row>
    <row r="36" spans="1:36" s="565" customFormat="1" ht="15.75" x14ac:dyDescent="0.25">
      <c r="A36" s="685" t="s">
        <v>829</v>
      </c>
      <c r="B36" s="685">
        <v>5216006458</v>
      </c>
      <c r="C36" s="563" t="s">
        <v>1198</v>
      </c>
      <c r="D36" s="572">
        <v>719.8</v>
      </c>
      <c r="E36" s="755">
        <v>7033</v>
      </c>
      <c r="F36" s="604"/>
      <c r="G36" s="755"/>
      <c r="H36" s="572"/>
      <c r="I36" s="755"/>
      <c r="J36" s="563"/>
      <c r="K36" s="563" t="s">
        <v>795</v>
      </c>
      <c r="L36" s="563">
        <v>5216006458</v>
      </c>
    </row>
    <row r="37" spans="1:36" s="565" customFormat="1" ht="15.75" x14ac:dyDescent="0.25">
      <c r="A37" s="685" t="s">
        <v>850</v>
      </c>
      <c r="B37" s="685">
        <v>5216006459</v>
      </c>
      <c r="C37" s="563" t="s">
        <v>1203</v>
      </c>
      <c r="D37" s="572">
        <v>246.33</v>
      </c>
      <c r="E37" s="755">
        <v>1294</v>
      </c>
      <c r="F37" s="604"/>
      <c r="G37" s="755"/>
      <c r="H37" s="572"/>
      <c r="I37" s="755"/>
      <c r="J37" s="563"/>
      <c r="K37" s="563" t="s">
        <v>796</v>
      </c>
      <c r="L37" s="563">
        <v>5216006459</v>
      </c>
    </row>
    <row r="38" spans="1:36" s="565" customFormat="1" ht="15.75" x14ac:dyDescent="0.25">
      <c r="A38" s="685" t="s">
        <v>848</v>
      </c>
      <c r="B38" s="685">
        <v>5216006460</v>
      </c>
      <c r="C38" s="563" t="s">
        <v>1202</v>
      </c>
      <c r="D38" s="572">
        <v>30.1</v>
      </c>
      <c r="E38" s="755">
        <v>150</v>
      </c>
      <c r="F38" s="604"/>
      <c r="G38" s="755"/>
      <c r="H38" s="572"/>
      <c r="I38" s="755"/>
      <c r="J38" s="563"/>
      <c r="K38" s="563" t="s">
        <v>797</v>
      </c>
      <c r="L38" s="563">
        <v>5216006460</v>
      </c>
    </row>
    <row r="39" spans="1:36" s="619" customFormat="1" ht="15.75" x14ac:dyDescent="0.25">
      <c r="A39" s="686" t="s">
        <v>874</v>
      </c>
      <c r="B39" s="686">
        <v>5216006461</v>
      </c>
      <c r="C39" s="546"/>
      <c r="D39" s="618"/>
      <c r="E39" s="754"/>
      <c r="F39" s="548"/>
      <c r="G39" s="754"/>
      <c r="H39" s="618"/>
      <c r="I39" s="754"/>
      <c r="J39" s="546"/>
      <c r="K39" s="546" t="s">
        <v>798</v>
      </c>
      <c r="L39" s="546">
        <v>5216006461</v>
      </c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</row>
    <row r="40" spans="1:36" s="619" customFormat="1" ht="15.75" x14ac:dyDescent="0.25">
      <c r="A40" s="686" t="s">
        <v>847</v>
      </c>
      <c r="B40" s="686">
        <v>5216007172</v>
      </c>
      <c r="C40" s="546"/>
      <c r="D40" s="618"/>
      <c r="E40" s="754"/>
      <c r="F40" s="548"/>
      <c r="G40" s="754"/>
      <c r="H40" s="618"/>
      <c r="I40" s="754"/>
      <c r="J40" s="546"/>
      <c r="K40" s="546" t="s">
        <v>799</v>
      </c>
      <c r="L40" s="546">
        <v>5216006462</v>
      </c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</row>
    <row r="41" spans="1:36" s="565" customFormat="1" ht="15.75" x14ac:dyDescent="0.25">
      <c r="A41" s="685" t="s">
        <v>836</v>
      </c>
      <c r="B41" s="685">
        <v>5216006464</v>
      </c>
      <c r="C41" s="563" t="s">
        <v>1201</v>
      </c>
      <c r="D41" s="572">
        <v>19.079999999999998</v>
      </c>
      <c r="E41" s="755">
        <v>70</v>
      </c>
      <c r="F41" s="604"/>
      <c r="G41" s="755"/>
      <c r="H41" s="572"/>
      <c r="I41" s="755"/>
      <c r="J41" s="563"/>
      <c r="K41" s="563" t="s">
        <v>801</v>
      </c>
      <c r="L41" s="563">
        <v>5216006464</v>
      </c>
    </row>
    <row r="42" spans="1:36" s="565" customFormat="1" ht="15.75" x14ac:dyDescent="0.25">
      <c r="A42" s="685" t="s">
        <v>837</v>
      </c>
      <c r="B42" s="685">
        <v>5216006465</v>
      </c>
      <c r="C42" s="563" t="s">
        <v>1201</v>
      </c>
      <c r="D42" s="572">
        <v>22.69</v>
      </c>
      <c r="E42" s="755">
        <v>80</v>
      </c>
      <c r="F42" s="604"/>
      <c r="G42" s="755"/>
      <c r="H42" s="572"/>
      <c r="I42" s="755"/>
      <c r="J42" s="563"/>
      <c r="K42" s="563" t="s">
        <v>802</v>
      </c>
      <c r="L42" s="563">
        <v>5216006465</v>
      </c>
    </row>
    <row r="43" spans="1:36" s="565" customFormat="1" ht="15.75" x14ac:dyDescent="0.25">
      <c r="A43" s="685" t="s">
        <v>869</v>
      </c>
      <c r="B43" s="685">
        <v>5216006466</v>
      </c>
      <c r="C43" s="563" t="s">
        <v>1198</v>
      </c>
      <c r="D43" s="572">
        <v>26.44</v>
      </c>
      <c r="E43" s="755">
        <v>0</v>
      </c>
      <c r="F43" s="604"/>
      <c r="G43" s="755"/>
      <c r="H43" s="572"/>
      <c r="I43" s="755"/>
      <c r="J43" s="563"/>
      <c r="K43" s="563" t="s">
        <v>803</v>
      </c>
      <c r="L43" s="563">
        <v>5216006466</v>
      </c>
    </row>
    <row r="44" spans="1:36" s="565" customFormat="1" ht="15.75" x14ac:dyDescent="0.25">
      <c r="A44" s="685" t="s">
        <v>868</v>
      </c>
      <c r="B44" s="685">
        <v>5216006467</v>
      </c>
      <c r="C44" s="563" t="s">
        <v>1202</v>
      </c>
      <c r="D44" s="572">
        <v>305.60000000000002</v>
      </c>
      <c r="E44" s="755">
        <v>2197</v>
      </c>
      <c r="F44" s="604"/>
      <c r="G44" s="755"/>
      <c r="H44" s="572"/>
      <c r="I44" s="755"/>
      <c r="J44" s="563"/>
      <c r="K44" s="563" t="s">
        <v>804</v>
      </c>
      <c r="L44" s="563">
        <v>5216006467</v>
      </c>
    </row>
    <row r="45" spans="1:36" s="565" customFormat="1" ht="17.25" customHeight="1" x14ac:dyDescent="0.25">
      <c r="A45" s="685" t="s">
        <v>832</v>
      </c>
      <c r="B45" s="685">
        <v>5216006468</v>
      </c>
      <c r="C45" s="563" t="s">
        <v>1201</v>
      </c>
      <c r="D45" s="572">
        <v>427.91</v>
      </c>
      <c r="E45" s="755">
        <v>1950</v>
      </c>
      <c r="F45" s="604"/>
      <c r="G45" s="755"/>
      <c r="H45" s="572"/>
      <c r="I45" s="755"/>
      <c r="J45" s="563"/>
      <c r="K45" s="563" t="s">
        <v>805</v>
      </c>
      <c r="L45" s="563">
        <v>5216006468</v>
      </c>
    </row>
    <row r="46" spans="1:36" s="565" customFormat="1" ht="15.75" x14ac:dyDescent="0.25">
      <c r="A46" s="685" t="s">
        <v>833</v>
      </c>
      <c r="B46" s="685">
        <v>5216006469</v>
      </c>
      <c r="C46" s="563" t="s">
        <v>1201</v>
      </c>
      <c r="D46" s="572">
        <v>296.49</v>
      </c>
      <c r="E46" s="755">
        <v>980</v>
      </c>
      <c r="F46" s="604"/>
      <c r="G46" s="755"/>
      <c r="H46" s="572"/>
      <c r="I46" s="755"/>
      <c r="J46" s="563"/>
      <c r="K46" s="563" t="s">
        <v>806</v>
      </c>
      <c r="L46" s="563">
        <v>5216006469</v>
      </c>
    </row>
    <row r="47" spans="1:36" s="565" customFormat="1" ht="15.75" x14ac:dyDescent="0.25">
      <c r="A47" s="685" t="s">
        <v>976</v>
      </c>
      <c r="B47" s="685">
        <v>5216006470</v>
      </c>
      <c r="C47" s="563" t="s">
        <v>1201</v>
      </c>
      <c r="D47" s="572">
        <v>2370.65</v>
      </c>
      <c r="E47" s="755">
        <v>24120</v>
      </c>
      <c r="F47" s="604"/>
      <c r="G47" s="755"/>
      <c r="H47" s="572"/>
      <c r="I47" s="755"/>
      <c r="J47" s="563"/>
      <c r="K47" s="563"/>
      <c r="L47" s="563"/>
    </row>
    <row r="48" spans="1:36" s="565" customFormat="1" ht="15.75" x14ac:dyDescent="0.25">
      <c r="A48" s="685" t="s">
        <v>852</v>
      </c>
      <c r="B48" s="685">
        <v>5216006471</v>
      </c>
      <c r="C48" s="563" t="s">
        <v>1202</v>
      </c>
      <c r="D48" s="572">
        <v>30.1</v>
      </c>
      <c r="E48" s="755">
        <v>150</v>
      </c>
      <c r="F48" s="604"/>
      <c r="G48" s="755"/>
      <c r="H48" s="572"/>
      <c r="I48" s="755"/>
      <c r="J48" s="563"/>
      <c r="K48" s="563" t="s">
        <v>808</v>
      </c>
      <c r="L48" s="563">
        <v>5216006471</v>
      </c>
    </row>
    <row r="49" spans="1:36" s="565" customFormat="1" ht="15.75" x14ac:dyDescent="0.25">
      <c r="A49" s="685" t="s">
        <v>867</v>
      </c>
      <c r="B49" s="685">
        <v>5216006472</v>
      </c>
      <c r="C49" s="563" t="s">
        <v>1203</v>
      </c>
      <c r="D49" s="572">
        <v>7.2</v>
      </c>
      <c r="E49" s="755">
        <v>160</v>
      </c>
      <c r="F49" s="604"/>
      <c r="G49" s="755"/>
      <c r="H49" s="572"/>
      <c r="I49" s="755"/>
      <c r="J49" s="563"/>
      <c r="K49" s="563" t="s">
        <v>809</v>
      </c>
      <c r="L49" s="563">
        <v>5216006472</v>
      </c>
    </row>
    <row r="50" spans="1:36" s="619" customFormat="1" ht="15.75" x14ac:dyDescent="0.25">
      <c r="A50" s="686" t="s">
        <v>840</v>
      </c>
      <c r="B50" s="686">
        <v>5216006473</v>
      </c>
      <c r="C50" s="546"/>
      <c r="D50" s="618"/>
      <c r="E50" s="754"/>
      <c r="F50" s="548"/>
      <c r="G50" s="754"/>
      <c r="H50" s="618"/>
      <c r="I50" s="754"/>
      <c r="J50" s="546"/>
      <c r="K50" s="546" t="s">
        <v>810</v>
      </c>
      <c r="L50" s="546">
        <v>5216006473</v>
      </c>
      <c r="M50" s="719"/>
      <c r="N50" s="719"/>
      <c r="O50" s="719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</row>
    <row r="51" spans="1:36" s="565" customFormat="1" ht="15.75" x14ac:dyDescent="0.25">
      <c r="A51" s="685" t="s">
        <v>839</v>
      </c>
      <c r="B51" s="685">
        <v>5216006474</v>
      </c>
      <c r="C51" s="563" t="s">
        <v>1202</v>
      </c>
      <c r="D51" s="572">
        <v>102.74</v>
      </c>
      <c r="E51" s="755">
        <v>903</v>
      </c>
      <c r="F51" s="604"/>
      <c r="G51" s="755"/>
      <c r="H51" s="572"/>
      <c r="I51" s="755"/>
      <c r="J51" s="563"/>
      <c r="K51" s="563" t="s">
        <v>811</v>
      </c>
      <c r="L51" s="563">
        <v>5216006474</v>
      </c>
    </row>
    <row r="52" spans="1:36" s="565" customFormat="1" ht="15.75" x14ac:dyDescent="0.25">
      <c r="A52" s="685" t="s">
        <v>841</v>
      </c>
      <c r="B52" s="685">
        <v>5216006475</v>
      </c>
      <c r="C52" s="563" t="s">
        <v>1201</v>
      </c>
      <c r="D52" s="572">
        <v>29.32</v>
      </c>
      <c r="E52" s="755">
        <v>150</v>
      </c>
      <c r="F52" s="604"/>
      <c r="G52" s="755"/>
      <c r="H52" s="572"/>
      <c r="I52" s="755"/>
      <c r="J52" s="563"/>
      <c r="K52" s="563" t="s">
        <v>812</v>
      </c>
      <c r="L52" s="563">
        <v>5216006475</v>
      </c>
    </row>
    <row r="53" spans="1:36" s="619" customFormat="1" ht="15.75" x14ac:dyDescent="0.25">
      <c r="A53" s="686" t="s">
        <v>846</v>
      </c>
      <c r="B53" s="686">
        <v>5074402</v>
      </c>
      <c r="C53" s="546"/>
      <c r="D53" s="618"/>
      <c r="E53" s="754"/>
      <c r="F53" s="548"/>
      <c r="G53" s="754"/>
      <c r="H53" s="618"/>
      <c r="I53" s="754"/>
      <c r="J53" s="546"/>
      <c r="K53" s="546" t="s">
        <v>813</v>
      </c>
      <c r="L53" s="546">
        <v>5216006476</v>
      </c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</row>
    <row r="54" spans="1:36" s="565" customFormat="1" ht="15.75" x14ac:dyDescent="0.25">
      <c r="A54" s="685" t="s">
        <v>845</v>
      </c>
      <c r="B54" s="685">
        <v>5216006477</v>
      </c>
      <c r="C54" s="563" t="s">
        <v>1203</v>
      </c>
      <c r="D54" s="572">
        <v>651.69000000000005</v>
      </c>
      <c r="E54" s="755">
        <v>4695</v>
      </c>
      <c r="F54" s="604"/>
      <c r="G54" s="755"/>
      <c r="H54" s="572"/>
      <c r="I54" s="755"/>
      <c r="J54" s="563"/>
      <c r="K54" s="563" t="s">
        <v>814</v>
      </c>
      <c r="L54" s="563">
        <v>5216006477</v>
      </c>
    </row>
    <row r="55" spans="1:36" s="619" customFormat="1" ht="15.75" x14ac:dyDescent="0.25">
      <c r="A55" s="686" t="s">
        <v>866</v>
      </c>
      <c r="B55" s="686">
        <v>5216006478</v>
      </c>
      <c r="C55" s="546"/>
      <c r="D55" s="618"/>
      <c r="E55" s="754"/>
      <c r="F55" s="548"/>
      <c r="G55" s="754"/>
      <c r="H55" s="618"/>
      <c r="I55" s="754"/>
      <c r="J55" s="546"/>
      <c r="K55" s="546" t="s">
        <v>815</v>
      </c>
      <c r="L55" s="546">
        <v>5216006478</v>
      </c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</row>
    <row r="56" spans="1:36" s="619" customFormat="1" ht="15.75" x14ac:dyDescent="0.25">
      <c r="A56" s="686" t="s">
        <v>844</v>
      </c>
      <c r="B56" s="686">
        <v>5216006479</v>
      </c>
      <c r="C56" s="546"/>
      <c r="D56" s="618"/>
      <c r="E56" s="754"/>
      <c r="F56" s="548"/>
      <c r="G56" s="754"/>
      <c r="H56" s="618"/>
      <c r="I56" s="754"/>
      <c r="J56" s="546"/>
      <c r="K56" s="546" t="s">
        <v>816</v>
      </c>
      <c r="L56" s="546">
        <v>5216006479</v>
      </c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</row>
    <row r="57" spans="1:36" s="565" customFormat="1" ht="15.75" x14ac:dyDescent="0.25">
      <c r="A57" s="685" t="s">
        <v>877</v>
      </c>
      <c r="B57" s="685">
        <v>5216006481</v>
      </c>
      <c r="C57" s="563" t="s">
        <v>1202</v>
      </c>
      <c r="D57" s="572">
        <v>1066.55</v>
      </c>
      <c r="E57" s="755">
        <v>10440</v>
      </c>
      <c r="F57" s="604"/>
      <c r="G57" s="755"/>
      <c r="H57" s="572"/>
      <c r="I57" s="755"/>
      <c r="J57" s="563"/>
      <c r="K57" s="563" t="s">
        <v>818</v>
      </c>
      <c r="L57" s="563">
        <v>5216006481</v>
      </c>
    </row>
    <row r="58" spans="1:36" s="565" customFormat="1" ht="15.75" x14ac:dyDescent="0.25">
      <c r="A58" s="685" t="s">
        <v>865</v>
      </c>
      <c r="B58" s="685">
        <v>5216006482</v>
      </c>
      <c r="C58" s="563" t="s">
        <v>1203</v>
      </c>
      <c r="D58" s="572">
        <v>377.36</v>
      </c>
      <c r="E58" s="755">
        <v>3221</v>
      </c>
      <c r="F58" s="604"/>
      <c r="G58" s="755"/>
      <c r="H58" s="572"/>
      <c r="I58" s="755"/>
      <c r="J58" s="563"/>
      <c r="K58" s="563" t="s">
        <v>819</v>
      </c>
      <c r="L58" s="563">
        <v>5216006482</v>
      </c>
    </row>
    <row r="59" spans="1:36" s="619" customFormat="1" ht="15.75" x14ac:dyDescent="0.25">
      <c r="A59" s="686" t="s">
        <v>860</v>
      </c>
      <c r="B59" s="686">
        <v>5216006483</v>
      </c>
      <c r="C59" s="546"/>
      <c r="D59" s="618"/>
      <c r="E59" s="754"/>
      <c r="F59" s="548"/>
      <c r="G59" s="754"/>
      <c r="H59" s="618"/>
      <c r="I59" s="754"/>
      <c r="J59" s="546"/>
      <c r="K59" s="546" t="s">
        <v>820</v>
      </c>
      <c r="L59" s="546">
        <v>5216006483</v>
      </c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</row>
    <row r="60" spans="1:36" s="565" customFormat="1" ht="15.75" x14ac:dyDescent="0.25">
      <c r="A60" s="685" t="s">
        <v>864</v>
      </c>
      <c r="B60" s="685">
        <v>5216006484</v>
      </c>
      <c r="C60" s="563" t="s">
        <v>1202</v>
      </c>
      <c r="D60" s="572">
        <v>18.37</v>
      </c>
      <c r="E60" s="755">
        <v>52</v>
      </c>
      <c r="F60" s="604"/>
      <c r="G60" s="755"/>
      <c r="H60" s="572"/>
      <c r="I60" s="755"/>
      <c r="J60" s="563"/>
      <c r="K60" s="563" t="s">
        <v>821</v>
      </c>
      <c r="L60" s="563">
        <v>5216006484</v>
      </c>
    </row>
    <row r="61" spans="1:36" s="565" customFormat="1" ht="15.75" x14ac:dyDescent="0.25">
      <c r="A61" s="685" t="s">
        <v>861</v>
      </c>
      <c r="B61" s="685">
        <v>5216006485</v>
      </c>
      <c r="C61" s="563" t="s">
        <v>1201</v>
      </c>
      <c r="D61" s="572">
        <v>930.6</v>
      </c>
      <c r="E61" s="755">
        <v>8851</v>
      </c>
      <c r="F61" s="604"/>
      <c r="G61" s="755"/>
      <c r="H61" s="572"/>
      <c r="I61" s="755"/>
      <c r="J61" s="563"/>
      <c r="K61" s="563" t="s">
        <v>822</v>
      </c>
      <c r="L61" s="563">
        <v>5216006485</v>
      </c>
    </row>
    <row r="62" spans="1:36" s="565" customFormat="1" ht="15.75" x14ac:dyDescent="0.25">
      <c r="A62" s="685" t="s">
        <v>935</v>
      </c>
      <c r="B62" s="685">
        <v>5216006486</v>
      </c>
      <c r="C62" s="563" t="s">
        <v>1201</v>
      </c>
      <c r="D62" s="572">
        <v>31.84</v>
      </c>
      <c r="E62" s="755">
        <v>140</v>
      </c>
      <c r="F62" s="604"/>
      <c r="G62" s="755"/>
      <c r="H62" s="572"/>
      <c r="I62" s="755"/>
      <c r="J62" s="563"/>
      <c r="K62" s="563" t="s">
        <v>823</v>
      </c>
      <c r="L62" s="563">
        <v>5216006486</v>
      </c>
    </row>
    <row r="63" spans="1:36" s="619" customFormat="1" ht="15.75" x14ac:dyDescent="0.25">
      <c r="A63" s="686" t="s">
        <v>910</v>
      </c>
      <c r="B63" s="686">
        <v>5216007171</v>
      </c>
      <c r="C63" s="546"/>
      <c r="D63" s="618"/>
      <c r="E63" s="754"/>
      <c r="F63" s="548"/>
      <c r="G63" s="754"/>
      <c r="H63" s="618"/>
      <c r="I63" s="754"/>
      <c r="J63" s="546"/>
      <c r="K63" s="546"/>
      <c r="L63" s="546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</row>
    <row r="64" spans="1:36" s="565" customFormat="1" ht="15.75" x14ac:dyDescent="0.25">
      <c r="A64" s="685" t="s">
        <v>862</v>
      </c>
      <c r="B64" s="685">
        <v>5216006487</v>
      </c>
      <c r="C64" s="563" t="s">
        <v>1201</v>
      </c>
      <c r="D64" s="572">
        <v>1472.07</v>
      </c>
      <c r="E64" s="755">
        <v>9000</v>
      </c>
      <c r="F64" s="604"/>
      <c r="G64" s="755"/>
      <c r="H64" s="572"/>
      <c r="I64" s="755"/>
      <c r="J64" s="563"/>
      <c r="K64" s="563" t="s">
        <v>824</v>
      </c>
      <c r="L64" s="563">
        <v>5216006487</v>
      </c>
    </row>
    <row r="65" spans="1:36" s="565" customFormat="1" ht="15.75" x14ac:dyDescent="0.25">
      <c r="A65" s="685" t="s">
        <v>843</v>
      </c>
      <c r="B65" s="685">
        <v>5216006488</v>
      </c>
      <c r="C65" s="609" t="s">
        <v>1198</v>
      </c>
      <c r="D65" s="572">
        <v>35.979999999999997</v>
      </c>
      <c r="E65" s="755">
        <v>231</v>
      </c>
      <c r="F65" s="604"/>
      <c r="G65" s="755"/>
      <c r="H65" s="572"/>
      <c r="I65" s="755"/>
      <c r="J65" s="563"/>
      <c r="K65" s="563" t="s">
        <v>825</v>
      </c>
      <c r="L65" s="563">
        <v>5216006488</v>
      </c>
    </row>
    <row r="66" spans="1:36" s="565" customFormat="1" ht="15.75" x14ac:dyDescent="0.25">
      <c r="A66" s="685" t="s">
        <v>842</v>
      </c>
      <c r="B66" s="685">
        <v>5216006489</v>
      </c>
      <c r="C66" s="563" t="s">
        <v>1198</v>
      </c>
      <c r="D66" s="572">
        <v>55.4</v>
      </c>
      <c r="E66" s="755">
        <v>428</v>
      </c>
      <c r="F66" s="604"/>
      <c r="G66" s="755"/>
      <c r="H66" s="572"/>
      <c r="I66" s="755"/>
      <c r="J66" s="563"/>
      <c r="K66" s="563" t="s">
        <v>826</v>
      </c>
      <c r="L66" s="563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49" customFormat="1" ht="26.25" x14ac:dyDescent="0.25">
      <c r="A68" s="699" t="s">
        <v>51</v>
      </c>
      <c r="B68" s="688" t="s">
        <v>208</v>
      </c>
      <c r="C68" s="266" t="s">
        <v>1193</v>
      </c>
      <c r="D68" s="263">
        <v>310</v>
      </c>
      <c r="E68" s="752">
        <v>3078</v>
      </c>
      <c r="F68" s="583"/>
      <c r="G68" s="752"/>
      <c r="H68" s="263"/>
      <c r="I68" s="752"/>
      <c r="J68" s="262" t="s">
        <v>33</v>
      </c>
      <c r="K68" s="262"/>
      <c r="L68" s="262"/>
    </row>
    <row r="69" spans="1:36" s="149" customFormat="1" ht="26.25" x14ac:dyDescent="0.25">
      <c r="A69" s="699" t="s">
        <v>52</v>
      </c>
      <c r="B69" s="688" t="s">
        <v>209</v>
      </c>
      <c r="C69" s="266" t="s">
        <v>1193</v>
      </c>
      <c r="D69" s="263">
        <v>180</v>
      </c>
      <c r="E69" s="752">
        <v>1427</v>
      </c>
      <c r="F69" s="583"/>
      <c r="G69" s="752"/>
      <c r="H69" s="263"/>
      <c r="I69" s="752"/>
      <c r="J69" s="262" t="s">
        <v>33</v>
      </c>
      <c r="K69" s="262"/>
      <c r="L69" s="262"/>
    </row>
    <row r="70" spans="1:36" s="149" customFormat="1" ht="26.25" x14ac:dyDescent="0.25">
      <c r="A70" s="699" t="s">
        <v>54</v>
      </c>
      <c r="B70" s="688">
        <v>7039100</v>
      </c>
      <c r="C70" s="266" t="s">
        <v>1193</v>
      </c>
      <c r="D70" s="263">
        <v>87</v>
      </c>
      <c r="E70" s="752">
        <v>398</v>
      </c>
      <c r="F70" s="583"/>
      <c r="G70" s="752"/>
      <c r="H70" s="263"/>
      <c r="I70" s="752"/>
      <c r="J70" s="262" t="s">
        <v>33</v>
      </c>
      <c r="K70" s="262"/>
      <c r="L70" s="262"/>
    </row>
    <row r="71" spans="1:36" s="149" customFormat="1" x14ac:dyDescent="0.25">
      <c r="A71" s="699" t="s">
        <v>55</v>
      </c>
      <c r="B71" s="688" t="s">
        <v>212</v>
      </c>
      <c r="C71" s="266" t="s">
        <v>1193</v>
      </c>
      <c r="D71" s="263">
        <v>37</v>
      </c>
      <c r="E71" s="752">
        <v>69</v>
      </c>
      <c r="F71" s="583"/>
      <c r="G71" s="752"/>
      <c r="H71" s="263"/>
      <c r="I71" s="752"/>
      <c r="J71" s="262" t="s">
        <v>33</v>
      </c>
      <c r="K71" s="262"/>
      <c r="L71" s="262"/>
    </row>
    <row r="72" spans="1:36" s="149" customFormat="1" x14ac:dyDescent="0.25">
      <c r="A72" s="699" t="s">
        <v>56</v>
      </c>
      <c r="B72" s="688" t="s">
        <v>213</v>
      </c>
      <c r="C72" s="266" t="s">
        <v>1193</v>
      </c>
      <c r="D72" s="263">
        <v>39</v>
      </c>
      <c r="E72" s="752">
        <v>93</v>
      </c>
      <c r="F72" s="583"/>
      <c r="G72" s="752"/>
      <c r="H72" s="263"/>
      <c r="I72" s="752"/>
      <c r="J72" s="262" t="s">
        <v>33</v>
      </c>
      <c r="K72" s="262"/>
      <c r="L72" s="262"/>
    </row>
    <row r="73" spans="1:36" s="149" customFormat="1" x14ac:dyDescent="0.25">
      <c r="A73" s="699" t="s">
        <v>57</v>
      </c>
      <c r="B73" s="688" t="s">
        <v>214</v>
      </c>
      <c r="C73" s="266" t="s">
        <v>1193</v>
      </c>
      <c r="D73" s="263">
        <v>225</v>
      </c>
      <c r="E73" s="752">
        <v>1929</v>
      </c>
      <c r="F73" s="583"/>
      <c r="G73" s="752"/>
      <c r="H73" s="263"/>
      <c r="I73" s="752"/>
      <c r="J73" s="262" t="s">
        <v>33</v>
      </c>
      <c r="K73" s="262"/>
      <c r="L73" s="262"/>
    </row>
    <row r="74" spans="1:36" s="149" customFormat="1" x14ac:dyDescent="0.25">
      <c r="A74" s="699" t="s">
        <v>58</v>
      </c>
      <c r="B74" s="688" t="s">
        <v>215</v>
      </c>
      <c r="C74" s="266" t="s">
        <v>1193</v>
      </c>
      <c r="D74" s="263">
        <v>162</v>
      </c>
      <c r="E74" s="752">
        <v>1543</v>
      </c>
      <c r="F74" s="583"/>
      <c r="G74" s="752"/>
      <c r="H74" s="263"/>
      <c r="I74" s="752"/>
      <c r="J74" s="262" t="s">
        <v>33</v>
      </c>
      <c r="K74" s="262"/>
      <c r="L74" s="262"/>
    </row>
    <row r="75" spans="1:36" s="149" customFormat="1" x14ac:dyDescent="0.25">
      <c r="A75" s="699" t="s">
        <v>770</v>
      </c>
      <c r="B75" s="688" t="s">
        <v>216</v>
      </c>
      <c r="C75" s="266" t="s">
        <v>1193</v>
      </c>
      <c r="D75" s="263">
        <v>60</v>
      </c>
      <c r="E75" s="752">
        <v>327</v>
      </c>
      <c r="F75" s="583"/>
      <c r="G75" s="752"/>
      <c r="H75" s="263"/>
      <c r="I75" s="752"/>
      <c r="J75" s="262" t="s">
        <v>33</v>
      </c>
      <c r="K75" s="262"/>
      <c r="L75" s="262"/>
    </row>
    <row r="76" spans="1:36" s="149" customFormat="1" x14ac:dyDescent="0.25">
      <c r="A76" s="699" t="s">
        <v>60</v>
      </c>
      <c r="B76" s="688" t="s">
        <v>217</v>
      </c>
      <c r="C76" s="266" t="s">
        <v>1193</v>
      </c>
      <c r="D76" s="263">
        <v>82</v>
      </c>
      <c r="E76" s="752">
        <v>348</v>
      </c>
      <c r="F76" s="583"/>
      <c r="G76" s="752"/>
      <c r="H76" s="263"/>
      <c r="I76" s="752"/>
      <c r="J76" s="262" t="s">
        <v>33</v>
      </c>
      <c r="K76" s="262"/>
      <c r="L76" s="262"/>
    </row>
    <row r="77" spans="1:36" s="149" customFormat="1" x14ac:dyDescent="0.25">
      <c r="A77" s="699" t="s">
        <v>61</v>
      </c>
      <c r="B77" s="688" t="s">
        <v>218</v>
      </c>
      <c r="C77" s="266" t="s">
        <v>1193</v>
      </c>
      <c r="D77" s="263">
        <v>31</v>
      </c>
      <c r="E77" s="752">
        <v>2</v>
      </c>
      <c r="F77" s="583"/>
      <c r="G77" s="752"/>
      <c r="H77" s="263"/>
      <c r="I77" s="752"/>
      <c r="J77" s="262" t="s">
        <v>33</v>
      </c>
      <c r="K77" s="262"/>
      <c r="L77" s="262"/>
    </row>
    <row r="78" spans="1:36" s="149" customFormat="1" x14ac:dyDescent="0.25">
      <c r="A78" s="699" t="s">
        <v>62</v>
      </c>
      <c r="B78" s="688" t="s">
        <v>219</v>
      </c>
      <c r="C78" s="266" t="s">
        <v>1193</v>
      </c>
      <c r="D78" s="263">
        <v>72</v>
      </c>
      <c r="E78" s="752">
        <v>459</v>
      </c>
      <c r="F78" s="583"/>
      <c r="G78" s="752"/>
      <c r="H78" s="263"/>
      <c r="I78" s="752"/>
      <c r="J78" s="262" t="s">
        <v>33</v>
      </c>
      <c r="K78" s="262"/>
      <c r="L78" s="262"/>
    </row>
    <row r="79" spans="1:36" s="149" customFormat="1" x14ac:dyDescent="0.25">
      <c r="A79" s="699" t="s">
        <v>771</v>
      </c>
      <c r="B79" s="688">
        <v>1402294701</v>
      </c>
      <c r="C79" s="266" t="s">
        <v>1193</v>
      </c>
      <c r="D79" s="263">
        <v>50.36</v>
      </c>
      <c r="E79" s="752">
        <v>4</v>
      </c>
      <c r="F79" s="583"/>
      <c r="G79" s="752"/>
      <c r="H79" s="263"/>
      <c r="I79" s="752"/>
      <c r="J79" s="262"/>
      <c r="K79" s="262"/>
      <c r="L79" s="262"/>
    </row>
    <row r="80" spans="1:36" s="148" customFormat="1" x14ac:dyDescent="0.25">
      <c r="A80" s="720" t="s">
        <v>621</v>
      </c>
      <c r="B80" s="721" t="s">
        <v>201</v>
      </c>
      <c r="C80" s="256" t="s">
        <v>1193</v>
      </c>
      <c r="D80" s="257">
        <v>201</v>
      </c>
      <c r="E80" s="751">
        <v>1706</v>
      </c>
      <c r="F80" s="586"/>
      <c r="G80" s="751"/>
      <c r="H80" s="257"/>
      <c r="I80" s="751"/>
      <c r="J80" s="256" t="s">
        <v>33</v>
      </c>
      <c r="K80" s="256"/>
      <c r="L80" s="256"/>
    </row>
    <row r="81" spans="1:36" s="149" customFormat="1" x14ac:dyDescent="0.25">
      <c r="A81" s="699" t="s">
        <v>768</v>
      </c>
      <c r="B81" s="688" t="s">
        <v>202</v>
      </c>
      <c r="C81" s="266" t="s">
        <v>1193</v>
      </c>
      <c r="D81" s="263">
        <v>1768</v>
      </c>
      <c r="E81" s="752">
        <v>16200</v>
      </c>
      <c r="F81" s="583"/>
      <c r="G81" s="752"/>
      <c r="H81" s="263"/>
      <c r="I81" s="752"/>
      <c r="J81" s="262" t="s">
        <v>33</v>
      </c>
      <c r="K81" s="262"/>
      <c r="L81" s="262"/>
    </row>
    <row r="82" spans="1:36" s="149" customFormat="1" x14ac:dyDescent="0.25">
      <c r="A82" s="699" t="s">
        <v>96</v>
      </c>
      <c r="B82" s="688">
        <v>7815400</v>
      </c>
      <c r="C82" s="262" t="s">
        <v>1193</v>
      </c>
      <c r="D82" s="263">
        <v>38</v>
      </c>
      <c r="E82" s="752">
        <v>2</v>
      </c>
      <c r="F82" s="583"/>
      <c r="G82" s="752"/>
      <c r="H82" s="263"/>
      <c r="I82" s="752"/>
      <c r="J82" s="262" t="s">
        <v>33</v>
      </c>
      <c r="K82" s="262"/>
      <c r="L82" s="262"/>
    </row>
    <row r="83" spans="1:36" s="149" customFormat="1" x14ac:dyDescent="0.25">
      <c r="A83" s="699" t="s">
        <v>97</v>
      </c>
      <c r="B83" s="688" t="s">
        <v>204</v>
      </c>
      <c r="C83" s="262" t="s">
        <v>1193</v>
      </c>
      <c r="D83" s="263">
        <v>56</v>
      </c>
      <c r="E83" s="752">
        <v>1</v>
      </c>
      <c r="F83" s="583"/>
      <c r="G83" s="752"/>
      <c r="H83" s="263"/>
      <c r="I83" s="752"/>
      <c r="J83" s="262" t="s">
        <v>33</v>
      </c>
      <c r="K83" s="262"/>
      <c r="L83" s="262"/>
    </row>
    <row r="84" spans="1:36" s="149" customFormat="1" x14ac:dyDescent="0.25">
      <c r="A84" s="699" t="s">
        <v>98</v>
      </c>
      <c r="B84" s="688" t="s">
        <v>205</v>
      </c>
      <c r="C84" s="262" t="s">
        <v>1193</v>
      </c>
      <c r="D84" s="263">
        <v>31</v>
      </c>
      <c r="E84" s="752">
        <v>7</v>
      </c>
      <c r="F84" s="583"/>
      <c r="G84" s="752"/>
      <c r="H84" s="263"/>
      <c r="I84" s="752"/>
      <c r="J84" s="262" t="s">
        <v>33</v>
      </c>
      <c r="K84" s="262"/>
      <c r="L84" s="262"/>
    </row>
    <row r="85" spans="1:36" s="149" customFormat="1" x14ac:dyDescent="0.25">
      <c r="A85" s="699" t="s">
        <v>769</v>
      </c>
      <c r="B85" s="688" t="s">
        <v>206</v>
      </c>
      <c r="C85" s="262" t="s">
        <v>1193</v>
      </c>
      <c r="D85" s="263">
        <v>148</v>
      </c>
      <c r="E85" s="752">
        <v>1212</v>
      </c>
      <c r="F85" s="583"/>
      <c r="G85" s="752"/>
      <c r="H85" s="263"/>
      <c r="I85" s="752"/>
      <c r="J85" s="262" t="s">
        <v>33</v>
      </c>
      <c r="K85" s="262"/>
      <c r="L85" s="262"/>
    </row>
    <row r="86" spans="1:36" s="149" customFormat="1" x14ac:dyDescent="0.25">
      <c r="A86" s="699" t="s">
        <v>100</v>
      </c>
      <c r="B86" s="726">
        <v>1323346600</v>
      </c>
      <c r="C86" s="262" t="s">
        <v>1193</v>
      </c>
      <c r="D86" s="263">
        <v>793</v>
      </c>
      <c r="E86" s="752">
        <v>7200</v>
      </c>
      <c r="F86" s="583"/>
      <c r="G86" s="752"/>
      <c r="H86" s="263"/>
      <c r="I86" s="752"/>
      <c r="J86" s="262" t="s">
        <v>33</v>
      </c>
      <c r="K86" s="262"/>
      <c r="L86" s="262"/>
    </row>
    <row r="87" spans="1:36" s="149" customFormat="1" x14ac:dyDescent="0.25">
      <c r="A87" s="699" t="s">
        <v>101</v>
      </c>
      <c r="B87" s="726">
        <v>1322699400</v>
      </c>
      <c r="C87" s="266" t="s">
        <v>1193</v>
      </c>
      <c r="D87" s="263">
        <v>336</v>
      </c>
      <c r="E87" s="752">
        <v>2760</v>
      </c>
      <c r="F87" s="583"/>
      <c r="G87" s="752"/>
      <c r="H87" s="263"/>
      <c r="I87" s="752"/>
      <c r="J87" s="262" t="s">
        <v>33</v>
      </c>
      <c r="K87" s="262"/>
      <c r="L87" s="262"/>
    </row>
    <row r="88" spans="1:36" s="352" customFormat="1" x14ac:dyDescent="0.25">
      <c r="A88" s="700" t="s">
        <v>772</v>
      </c>
      <c r="B88" s="725" t="s">
        <v>200</v>
      </c>
      <c r="C88" s="646">
        <v>43284</v>
      </c>
      <c r="D88" s="349">
        <v>270</v>
      </c>
      <c r="E88" s="756">
        <v>16.86</v>
      </c>
      <c r="F88" s="593"/>
      <c r="G88" s="756"/>
      <c r="H88" s="349"/>
      <c r="I88" s="756"/>
      <c r="J88" s="348" t="s">
        <v>33</v>
      </c>
      <c r="K88" s="348"/>
      <c r="L88" s="348"/>
    </row>
    <row r="89" spans="1:36" s="149" customFormat="1" x14ac:dyDescent="0.25">
      <c r="A89" s="699" t="s">
        <v>110</v>
      </c>
      <c r="B89" s="688" t="s">
        <v>207</v>
      </c>
      <c r="C89" s="262" t="s">
        <v>1193</v>
      </c>
      <c r="D89" s="263">
        <v>246</v>
      </c>
      <c r="E89" s="752">
        <v>435</v>
      </c>
      <c r="F89" s="583"/>
      <c r="G89" s="752"/>
      <c r="H89" s="263"/>
      <c r="I89" s="752"/>
      <c r="J89" s="262" t="s">
        <v>33</v>
      </c>
      <c r="K89" s="262"/>
      <c r="L89" s="262"/>
    </row>
    <row r="90" spans="1:36" s="184" customFormat="1" x14ac:dyDescent="0.25">
      <c r="A90" s="695" t="s">
        <v>111</v>
      </c>
      <c r="B90" s="681" t="s">
        <v>222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359"/>
      <c r="AC90" s="359"/>
      <c r="AD90" s="359"/>
      <c r="AE90" s="359"/>
      <c r="AF90" s="359"/>
      <c r="AG90" s="359"/>
      <c r="AH90" s="359"/>
      <c r="AI90" s="359"/>
      <c r="AJ90" s="359"/>
    </row>
    <row r="91" spans="1:36" s="149" customFormat="1" ht="15.75" customHeight="1" x14ac:dyDescent="0.25">
      <c r="A91" s="699" t="s">
        <v>117</v>
      </c>
      <c r="B91" s="688" t="s">
        <v>220</v>
      </c>
      <c r="C91" s="262" t="s">
        <v>1193</v>
      </c>
      <c r="D91" s="263">
        <v>121</v>
      </c>
      <c r="E91" s="752">
        <v>792</v>
      </c>
      <c r="F91" s="583"/>
      <c r="G91" s="752"/>
      <c r="H91" s="263"/>
      <c r="I91" s="752"/>
      <c r="J91" s="262" t="s">
        <v>33</v>
      </c>
      <c r="K91" s="262"/>
      <c r="L91" s="262"/>
    </row>
    <row r="92" spans="1:36" s="149" customFormat="1" x14ac:dyDescent="0.25">
      <c r="A92" s="699" t="s">
        <v>118</v>
      </c>
      <c r="B92" s="688" t="s">
        <v>221</v>
      </c>
      <c r="C92" s="266" t="s">
        <v>1193</v>
      </c>
      <c r="D92" s="263">
        <v>92</v>
      </c>
      <c r="E92" s="752">
        <v>674</v>
      </c>
      <c r="F92" s="583"/>
      <c r="G92" s="752"/>
      <c r="H92" s="263"/>
      <c r="I92" s="752"/>
      <c r="J92" s="262" t="s">
        <v>33</v>
      </c>
      <c r="K92" s="262"/>
      <c r="L92" s="262"/>
    </row>
    <row r="93" spans="1:36" s="149" customFormat="1" x14ac:dyDescent="0.25">
      <c r="A93" s="699" t="s">
        <v>701</v>
      </c>
      <c r="B93" s="688">
        <v>1323115001</v>
      </c>
      <c r="C93" s="266" t="s">
        <v>1193</v>
      </c>
      <c r="D93" s="263">
        <v>1772</v>
      </c>
      <c r="E93" s="752">
        <v>23640</v>
      </c>
      <c r="F93" s="583"/>
      <c r="G93" s="752"/>
      <c r="H93" s="263"/>
      <c r="I93" s="752"/>
      <c r="J93" s="262"/>
      <c r="K93" s="262"/>
      <c r="L93" s="262"/>
    </row>
    <row r="94" spans="1:36" s="149" customFormat="1" x14ac:dyDescent="0.25">
      <c r="A94" s="699" t="s">
        <v>683</v>
      </c>
      <c r="B94" s="688">
        <v>1322673502</v>
      </c>
      <c r="C94" s="266" t="s">
        <v>1193</v>
      </c>
      <c r="D94" s="263">
        <v>251</v>
      </c>
      <c r="E94" s="752">
        <v>2213</v>
      </c>
      <c r="F94" s="583"/>
      <c r="G94" s="752"/>
      <c r="H94" s="263"/>
      <c r="I94" s="752"/>
      <c r="J94" s="262"/>
      <c r="K94" s="262"/>
      <c r="L94" s="262"/>
    </row>
    <row r="95" spans="1:36" s="149" customFormat="1" x14ac:dyDescent="0.25">
      <c r="A95" s="699" t="s">
        <v>702</v>
      </c>
      <c r="B95" s="688">
        <v>1322725900</v>
      </c>
      <c r="C95" s="266" t="s">
        <v>1193</v>
      </c>
      <c r="D95" s="263">
        <v>393</v>
      </c>
      <c r="E95" s="752">
        <v>2280</v>
      </c>
      <c r="F95" s="583"/>
      <c r="G95" s="752"/>
      <c r="H95" s="263"/>
      <c r="I95" s="752"/>
      <c r="J95" s="262"/>
      <c r="K95" s="262"/>
      <c r="L95" s="262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49" customFormat="1" x14ac:dyDescent="0.25">
      <c r="A97" s="699" t="s">
        <v>65</v>
      </c>
      <c r="B97" s="688" t="s">
        <v>163</v>
      </c>
      <c r="C97" s="262" t="s">
        <v>1193</v>
      </c>
      <c r="D97" s="263"/>
      <c r="E97" s="752"/>
      <c r="F97" s="583"/>
      <c r="G97" s="752"/>
      <c r="H97" s="263">
        <v>353.22</v>
      </c>
      <c r="I97" s="752">
        <v>496</v>
      </c>
      <c r="J97" s="262"/>
      <c r="K97" s="262"/>
      <c r="L97" s="262"/>
    </row>
    <row r="98" spans="1:12" s="149" customFormat="1" x14ac:dyDescent="0.25">
      <c r="A98" s="699" t="s">
        <v>37</v>
      </c>
      <c r="B98" s="688" t="s">
        <v>190</v>
      </c>
      <c r="C98" s="266" t="s">
        <v>1193</v>
      </c>
      <c r="D98" s="263"/>
      <c r="E98" s="752"/>
      <c r="F98" s="583"/>
      <c r="G98" s="752"/>
      <c r="H98" s="263">
        <v>287.43</v>
      </c>
      <c r="I98" s="752">
        <v>410</v>
      </c>
      <c r="J98" s="262"/>
      <c r="K98" s="262"/>
      <c r="L98" s="262"/>
    </row>
    <row r="99" spans="1:12" s="149" customFormat="1" x14ac:dyDescent="0.25">
      <c r="A99" s="699" t="s">
        <v>71</v>
      </c>
      <c r="B99" s="688" t="s">
        <v>188</v>
      </c>
      <c r="C99" s="262" t="s">
        <v>1193</v>
      </c>
      <c r="D99" s="263"/>
      <c r="E99" s="752"/>
      <c r="F99" s="583"/>
      <c r="G99" s="752"/>
      <c r="H99" s="263">
        <v>40.07</v>
      </c>
      <c r="I99" s="752">
        <v>32</v>
      </c>
      <c r="J99" s="262"/>
      <c r="K99" s="262"/>
      <c r="L99" s="262"/>
    </row>
    <row r="100" spans="1:12" s="149" customFormat="1" x14ac:dyDescent="0.25">
      <c r="A100" s="699" t="s">
        <v>72</v>
      </c>
      <c r="B100" s="688" t="s">
        <v>187</v>
      </c>
      <c r="C100" s="262" t="s">
        <v>1193</v>
      </c>
      <c r="D100" s="263"/>
      <c r="E100" s="752"/>
      <c r="F100" s="583"/>
      <c r="G100" s="752"/>
      <c r="H100" s="263">
        <v>52.88</v>
      </c>
      <c r="I100" s="752">
        <v>56</v>
      </c>
      <c r="J100" s="262"/>
      <c r="K100" s="262"/>
      <c r="L100" s="262"/>
    </row>
    <row r="101" spans="1:12" s="149" customFormat="1" x14ac:dyDescent="0.25">
      <c r="A101" s="699" t="s">
        <v>73</v>
      </c>
      <c r="B101" s="688" t="s">
        <v>171</v>
      </c>
      <c r="C101" s="262" t="s">
        <v>1193</v>
      </c>
      <c r="D101" s="263"/>
      <c r="E101" s="752"/>
      <c r="F101" s="583"/>
      <c r="G101" s="752"/>
      <c r="H101" s="263">
        <v>46.48</v>
      </c>
      <c r="I101" s="752">
        <v>44</v>
      </c>
      <c r="J101" s="262"/>
      <c r="K101" s="262"/>
      <c r="L101" s="262"/>
    </row>
    <row r="102" spans="1:12" s="149" customFormat="1" x14ac:dyDescent="0.25">
      <c r="A102" s="699" t="s">
        <v>74</v>
      </c>
      <c r="B102" s="688" t="s">
        <v>170</v>
      </c>
      <c r="C102" s="262" t="s">
        <v>1193</v>
      </c>
      <c r="D102" s="263"/>
      <c r="E102" s="752"/>
      <c r="F102" s="583"/>
      <c r="G102" s="752"/>
      <c r="H102" s="263">
        <v>33.659999999999997</v>
      </c>
      <c r="I102" s="752">
        <v>11</v>
      </c>
      <c r="J102" s="262"/>
      <c r="K102" s="262"/>
      <c r="L102" s="262"/>
    </row>
    <row r="103" spans="1:12" s="149" customFormat="1" x14ac:dyDescent="0.25">
      <c r="A103" s="699" t="s">
        <v>75</v>
      </c>
      <c r="B103" s="688" t="s">
        <v>189</v>
      </c>
      <c r="C103" s="262" t="s">
        <v>1193</v>
      </c>
      <c r="D103" s="263"/>
      <c r="E103" s="752"/>
      <c r="F103" s="583"/>
      <c r="G103" s="752"/>
      <c r="H103" s="263">
        <v>52.35</v>
      </c>
      <c r="I103" s="752">
        <v>55</v>
      </c>
      <c r="J103" s="262"/>
      <c r="K103" s="262"/>
      <c r="L103" s="262"/>
    </row>
    <row r="104" spans="1:12" s="149" customFormat="1" x14ac:dyDescent="0.25">
      <c r="A104" s="699" t="s">
        <v>76</v>
      </c>
      <c r="B104" s="688" t="s">
        <v>169</v>
      </c>
      <c r="C104" s="262" t="s">
        <v>1193</v>
      </c>
      <c r="D104" s="263"/>
      <c r="E104" s="752"/>
      <c r="F104" s="583"/>
      <c r="G104" s="752"/>
      <c r="H104" s="263">
        <v>33.659999999999997</v>
      </c>
      <c r="I104" s="752">
        <v>1</v>
      </c>
      <c r="J104" s="262"/>
      <c r="K104" s="262"/>
      <c r="L104" s="262"/>
    </row>
    <row r="105" spans="1:12" s="149" customFormat="1" x14ac:dyDescent="0.25">
      <c r="A105" s="699" t="s">
        <v>77</v>
      </c>
      <c r="B105" s="688" t="s">
        <v>168</v>
      </c>
      <c r="C105" s="262" t="s">
        <v>1193</v>
      </c>
      <c r="D105" s="263"/>
      <c r="E105" s="752"/>
      <c r="F105" s="583"/>
      <c r="G105" s="752"/>
      <c r="H105" s="263">
        <v>357.86</v>
      </c>
      <c r="I105" s="752">
        <v>369</v>
      </c>
      <c r="J105" s="262"/>
      <c r="K105" s="262"/>
      <c r="L105" s="262"/>
    </row>
    <row r="106" spans="1:12" s="149" customFormat="1" x14ac:dyDescent="0.25">
      <c r="A106" s="699" t="s">
        <v>78</v>
      </c>
      <c r="B106" s="688" t="s">
        <v>197</v>
      </c>
      <c r="C106" s="262" t="s">
        <v>1193</v>
      </c>
      <c r="D106" s="263"/>
      <c r="E106" s="752"/>
      <c r="F106" s="583"/>
      <c r="G106" s="752"/>
      <c r="H106" s="263">
        <v>95.2</v>
      </c>
      <c r="I106" s="752">
        <v>129</v>
      </c>
      <c r="J106" s="262"/>
      <c r="K106" s="262"/>
      <c r="L106" s="262"/>
    </row>
    <row r="107" spans="1:12" s="149" customFormat="1" x14ac:dyDescent="0.25">
      <c r="A107" s="699" t="s">
        <v>79</v>
      </c>
      <c r="B107" s="688" t="s">
        <v>167</v>
      </c>
      <c r="C107" s="266" t="s">
        <v>1193</v>
      </c>
      <c r="D107" s="263"/>
      <c r="E107" s="752"/>
      <c r="F107" s="583"/>
      <c r="G107" s="752"/>
      <c r="H107" s="263">
        <v>33.659999999999997</v>
      </c>
      <c r="I107" s="752">
        <v>0</v>
      </c>
      <c r="J107" s="262"/>
      <c r="K107" s="262"/>
      <c r="L107" s="262"/>
    </row>
    <row r="108" spans="1:12" s="149" customFormat="1" x14ac:dyDescent="0.25">
      <c r="A108" s="728" t="s">
        <v>80</v>
      </c>
      <c r="B108" s="729" t="s">
        <v>177</v>
      </c>
      <c r="C108" s="285" t="s">
        <v>1193</v>
      </c>
      <c r="D108" s="286"/>
      <c r="E108" s="760"/>
      <c r="F108" s="594"/>
      <c r="G108" s="760"/>
      <c r="H108" s="286">
        <v>33.659999999999997</v>
      </c>
      <c r="I108" s="760">
        <v>0</v>
      </c>
      <c r="J108" s="288"/>
      <c r="K108" s="262"/>
      <c r="L108" s="262"/>
    </row>
    <row r="109" spans="1:12" s="149" customFormat="1" x14ac:dyDescent="0.25">
      <c r="A109" s="699" t="s">
        <v>81</v>
      </c>
      <c r="B109" s="688" t="s">
        <v>180</v>
      </c>
      <c r="C109" s="262" t="s">
        <v>1193</v>
      </c>
      <c r="D109" s="263"/>
      <c r="E109" s="752"/>
      <c r="F109" s="583"/>
      <c r="G109" s="752"/>
      <c r="H109" s="263">
        <v>33.659999999999997</v>
      </c>
      <c r="I109" s="752">
        <v>18</v>
      </c>
      <c r="J109" s="262"/>
      <c r="K109" s="262"/>
      <c r="L109" s="262"/>
    </row>
    <row r="110" spans="1:12" s="149" customFormat="1" x14ac:dyDescent="0.25">
      <c r="A110" s="699" t="s">
        <v>82</v>
      </c>
      <c r="B110" s="688" t="s">
        <v>179</v>
      </c>
      <c r="C110" s="262" t="s">
        <v>1193</v>
      </c>
      <c r="D110" s="263"/>
      <c r="E110" s="752"/>
      <c r="F110" s="583"/>
      <c r="G110" s="752"/>
      <c r="H110" s="263">
        <v>56.62</v>
      </c>
      <c r="I110" s="752">
        <v>63</v>
      </c>
      <c r="J110" s="262"/>
      <c r="K110" s="262"/>
      <c r="L110" s="262"/>
    </row>
    <row r="111" spans="1:12" s="149" customFormat="1" x14ac:dyDescent="0.25">
      <c r="A111" s="699" t="s">
        <v>83</v>
      </c>
      <c r="B111" s="688" t="s">
        <v>178</v>
      </c>
      <c r="C111" s="262" t="s">
        <v>1193</v>
      </c>
      <c r="D111" s="263"/>
      <c r="E111" s="752"/>
      <c r="F111" s="583"/>
      <c r="G111" s="752"/>
      <c r="H111" s="263">
        <v>33.659999999999997</v>
      </c>
      <c r="I111" s="752">
        <v>3</v>
      </c>
      <c r="J111" s="262"/>
      <c r="K111" s="262"/>
      <c r="L111" s="262"/>
    </row>
    <row r="112" spans="1:12" s="149" customFormat="1" x14ac:dyDescent="0.25">
      <c r="A112" s="699" t="s">
        <v>84</v>
      </c>
      <c r="B112" s="688" t="s">
        <v>175</v>
      </c>
      <c r="C112" s="262" t="s">
        <v>1193</v>
      </c>
      <c r="D112" s="263"/>
      <c r="E112" s="752"/>
      <c r="F112" s="583"/>
      <c r="G112" s="752"/>
      <c r="H112" s="263">
        <v>33.659999999999997</v>
      </c>
      <c r="I112" s="752">
        <v>5</v>
      </c>
      <c r="J112" s="262"/>
      <c r="K112" s="262"/>
      <c r="L112" s="262"/>
    </row>
    <row r="113" spans="1:36" s="149" customFormat="1" x14ac:dyDescent="0.25">
      <c r="A113" s="699" t="s">
        <v>85</v>
      </c>
      <c r="B113" s="688" t="s">
        <v>184</v>
      </c>
      <c r="C113" s="262" t="s">
        <v>1193</v>
      </c>
      <c r="D113" s="263"/>
      <c r="E113" s="752"/>
      <c r="F113" s="583"/>
      <c r="G113" s="752"/>
      <c r="H113" s="263">
        <v>33.659999999999997</v>
      </c>
      <c r="I113" s="752">
        <v>0</v>
      </c>
      <c r="J113" s="262"/>
      <c r="K113" s="262"/>
      <c r="L113" s="262"/>
    </row>
    <row r="114" spans="1:36" s="149" customFormat="1" x14ac:dyDescent="0.25">
      <c r="A114" s="699" t="s">
        <v>86</v>
      </c>
      <c r="B114" s="688" t="s">
        <v>185</v>
      </c>
      <c r="C114" s="262" t="s">
        <v>1193</v>
      </c>
      <c r="D114" s="263"/>
      <c r="E114" s="752"/>
      <c r="F114" s="583"/>
      <c r="G114" s="752"/>
      <c r="H114" s="263">
        <v>152.31</v>
      </c>
      <c r="I114" s="752">
        <v>217</v>
      </c>
      <c r="J114" s="262"/>
      <c r="K114" s="262"/>
      <c r="L114" s="262"/>
    </row>
    <row r="115" spans="1:36" s="149" customFormat="1" x14ac:dyDescent="0.25">
      <c r="A115" s="699" t="s">
        <v>87</v>
      </c>
      <c r="B115" s="688" t="s">
        <v>181</v>
      </c>
      <c r="C115" s="262" t="s">
        <v>1193</v>
      </c>
      <c r="D115" s="263"/>
      <c r="E115" s="752"/>
      <c r="F115" s="583"/>
      <c r="G115" s="752"/>
      <c r="H115" s="263">
        <v>33.659999999999997</v>
      </c>
      <c r="I115" s="752">
        <v>4</v>
      </c>
      <c r="J115" s="262"/>
      <c r="K115" s="262"/>
      <c r="L115" s="262"/>
    </row>
    <row r="116" spans="1:36" s="149" customFormat="1" x14ac:dyDescent="0.25">
      <c r="A116" s="699" t="s">
        <v>88</v>
      </c>
      <c r="B116" s="688" t="s">
        <v>172</v>
      </c>
      <c r="C116" s="262" t="s">
        <v>1193</v>
      </c>
      <c r="D116" s="263"/>
      <c r="E116" s="752"/>
      <c r="F116" s="583"/>
      <c r="G116" s="752"/>
      <c r="H116" s="263">
        <v>1513.73</v>
      </c>
      <c r="I116" s="752">
        <v>2013</v>
      </c>
      <c r="J116" s="262"/>
      <c r="K116" s="262"/>
      <c r="L116" s="262"/>
    </row>
    <row r="117" spans="1:36" s="149" customFormat="1" x14ac:dyDescent="0.25">
      <c r="A117" s="699" t="s">
        <v>89</v>
      </c>
      <c r="B117" s="688" t="s">
        <v>173</v>
      </c>
      <c r="C117" s="262" t="s">
        <v>1193</v>
      </c>
      <c r="D117" s="263"/>
      <c r="E117" s="752"/>
      <c r="F117" s="583"/>
      <c r="G117" s="752"/>
      <c r="H117" s="263">
        <v>505.46</v>
      </c>
      <c r="I117" s="752">
        <v>695</v>
      </c>
      <c r="J117" s="262"/>
      <c r="K117" s="262"/>
      <c r="L117" s="262"/>
    </row>
    <row r="118" spans="1:36" s="149" customFormat="1" x14ac:dyDescent="0.25">
      <c r="A118" s="699" t="s">
        <v>90</v>
      </c>
      <c r="B118" s="688" t="s">
        <v>174</v>
      </c>
      <c r="C118" s="262" t="s">
        <v>1193</v>
      </c>
      <c r="D118" s="263"/>
      <c r="E118" s="752"/>
      <c r="F118" s="583"/>
      <c r="G118" s="752"/>
      <c r="H118" s="263">
        <v>68.900000000000006</v>
      </c>
      <c r="I118" s="752">
        <v>86</v>
      </c>
      <c r="J118" s="262"/>
      <c r="K118" s="262"/>
      <c r="L118" s="262"/>
    </row>
    <row r="119" spans="1:36" s="149" customFormat="1" x14ac:dyDescent="0.25">
      <c r="A119" s="699" t="s">
        <v>91</v>
      </c>
      <c r="B119" s="688" t="s">
        <v>182</v>
      </c>
      <c r="C119" s="262" t="s">
        <v>1193</v>
      </c>
      <c r="D119" s="263"/>
      <c r="E119" s="752"/>
      <c r="F119" s="583"/>
      <c r="G119" s="752"/>
      <c r="H119" s="263">
        <v>129.9</v>
      </c>
      <c r="I119" s="752">
        <v>155</v>
      </c>
      <c r="J119" s="262"/>
      <c r="K119" s="262"/>
      <c r="L119" s="262"/>
    </row>
    <row r="120" spans="1:36" s="149" customFormat="1" x14ac:dyDescent="0.25">
      <c r="A120" s="699" t="s">
        <v>92</v>
      </c>
      <c r="B120" s="688" t="s">
        <v>186</v>
      </c>
      <c r="C120" s="262" t="s">
        <v>1193</v>
      </c>
      <c r="D120" s="263"/>
      <c r="E120" s="752"/>
      <c r="F120" s="583"/>
      <c r="G120" s="752"/>
      <c r="H120" s="263">
        <v>399.12</v>
      </c>
      <c r="I120" s="752">
        <v>556</v>
      </c>
      <c r="J120" s="262"/>
      <c r="K120" s="262"/>
      <c r="L120" s="262"/>
    </row>
    <row r="121" spans="1:36" s="149" customFormat="1" x14ac:dyDescent="0.25">
      <c r="A121" s="699" t="s">
        <v>93</v>
      </c>
      <c r="B121" s="688" t="s">
        <v>183</v>
      </c>
      <c r="C121" s="262" t="s">
        <v>1193</v>
      </c>
      <c r="D121" s="263"/>
      <c r="E121" s="752"/>
      <c r="F121" s="583"/>
      <c r="G121" s="752"/>
      <c r="H121" s="263">
        <v>33.659999999999997</v>
      </c>
      <c r="I121" s="752">
        <v>1</v>
      </c>
      <c r="J121" s="262"/>
      <c r="K121" s="262"/>
      <c r="L121" s="262"/>
    </row>
    <row r="122" spans="1:36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</row>
    <row r="123" spans="1:36" s="149" customFormat="1" ht="26.25" x14ac:dyDescent="0.25">
      <c r="A123" s="699" t="s">
        <v>983</v>
      </c>
      <c r="B123" s="688" t="s">
        <v>981</v>
      </c>
      <c r="C123" s="262" t="s">
        <v>1193</v>
      </c>
      <c r="D123" s="263"/>
      <c r="E123" s="752"/>
      <c r="F123" s="583"/>
      <c r="G123" s="752"/>
      <c r="H123" s="263">
        <v>149.07</v>
      </c>
      <c r="I123" s="752">
        <v>212</v>
      </c>
      <c r="J123" s="262"/>
      <c r="K123" s="262"/>
      <c r="L123" s="262"/>
    </row>
    <row r="124" spans="1:36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</row>
    <row r="125" spans="1:36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H125" s="359"/>
      <c r="AI125" s="359"/>
      <c r="AJ125" s="359"/>
    </row>
    <row r="126" spans="1:36" s="149" customFormat="1" x14ac:dyDescent="0.25">
      <c r="A126" s="699" t="s">
        <v>1077</v>
      </c>
      <c r="B126" s="688" t="s">
        <v>193</v>
      </c>
      <c r="C126" s="262" t="s">
        <v>1193</v>
      </c>
      <c r="D126" s="263"/>
      <c r="E126" s="752"/>
      <c r="F126" s="583"/>
      <c r="G126" s="752"/>
      <c r="H126" s="263">
        <v>33.659999999999997</v>
      </c>
      <c r="I126" s="752">
        <v>16</v>
      </c>
      <c r="J126" s="262"/>
      <c r="K126" s="262"/>
      <c r="L126" s="262"/>
    </row>
    <row r="127" spans="1:36" s="149" customFormat="1" x14ac:dyDescent="0.25">
      <c r="A127" s="699" t="s">
        <v>1075</v>
      </c>
      <c r="B127" s="688" t="s">
        <v>192</v>
      </c>
      <c r="C127" s="262" t="s">
        <v>1193</v>
      </c>
      <c r="D127" s="263"/>
      <c r="E127" s="752"/>
      <c r="F127" s="583"/>
      <c r="G127" s="752"/>
      <c r="H127" s="263">
        <v>33.659999999999997</v>
      </c>
      <c r="I127" s="752">
        <v>0</v>
      </c>
      <c r="J127" s="262"/>
      <c r="K127" s="262"/>
      <c r="L127" s="262"/>
    </row>
    <row r="128" spans="1:36" s="149" customFormat="1" x14ac:dyDescent="0.25">
      <c r="A128" s="699" t="s">
        <v>1066</v>
      </c>
      <c r="B128" s="688" t="s">
        <v>139</v>
      </c>
      <c r="C128" s="262" t="s">
        <v>1200</v>
      </c>
      <c r="D128" s="263"/>
      <c r="E128" s="752"/>
      <c r="F128" s="583"/>
      <c r="G128" s="752"/>
      <c r="H128" s="263">
        <v>55.55</v>
      </c>
      <c r="I128" s="752">
        <v>61</v>
      </c>
      <c r="J128" s="262"/>
      <c r="K128" s="262"/>
      <c r="L128" s="262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  <c r="M129" s="359"/>
      <c r="N129" s="359"/>
      <c r="O129" s="359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359"/>
      <c r="AC129" s="359"/>
      <c r="AD129" s="359"/>
      <c r="AE129" s="359"/>
      <c r="AF129" s="359"/>
      <c r="AG129" s="359"/>
      <c r="AH129" s="359"/>
      <c r="AI129" s="359"/>
      <c r="AJ129" s="359"/>
    </row>
    <row r="130" spans="1:36" s="149" customFormat="1" x14ac:dyDescent="0.25">
      <c r="A130" s="699" t="s">
        <v>1093</v>
      </c>
      <c r="B130" s="688" t="s">
        <v>131</v>
      </c>
      <c r="C130" s="262" t="s">
        <v>1200</v>
      </c>
      <c r="D130" s="263"/>
      <c r="E130" s="752"/>
      <c r="F130" s="583"/>
      <c r="G130" s="752"/>
      <c r="H130" s="263">
        <v>2746.91</v>
      </c>
      <c r="I130" s="752">
        <v>3625</v>
      </c>
      <c r="J130" s="262"/>
      <c r="K130" s="262"/>
      <c r="L130" s="262"/>
    </row>
    <row r="131" spans="1:36" s="149" customFormat="1" x14ac:dyDescent="0.25">
      <c r="A131" s="699" t="s">
        <v>1092</v>
      </c>
      <c r="B131" s="688" t="s">
        <v>133</v>
      </c>
      <c r="C131" s="262" t="s">
        <v>1200</v>
      </c>
      <c r="D131" s="263"/>
      <c r="E131" s="752"/>
      <c r="F131" s="583"/>
      <c r="G131" s="752"/>
      <c r="H131" s="263">
        <v>36.86</v>
      </c>
      <c r="I131" s="752">
        <v>26</v>
      </c>
      <c r="J131" s="262"/>
      <c r="K131" s="262"/>
      <c r="L131" s="262"/>
    </row>
    <row r="132" spans="1:36" s="149" customFormat="1" x14ac:dyDescent="0.25">
      <c r="A132" s="700" t="s">
        <v>309</v>
      </c>
      <c r="B132" s="688" t="s">
        <v>135</v>
      </c>
      <c r="C132" s="262" t="s">
        <v>1200</v>
      </c>
      <c r="D132" s="263"/>
      <c r="E132" s="752"/>
      <c r="F132" s="583"/>
      <c r="G132" s="752"/>
      <c r="H132" s="263">
        <v>1486.19</v>
      </c>
      <c r="I132" s="752">
        <v>1977</v>
      </c>
      <c r="J132" s="262"/>
      <c r="K132" s="262"/>
      <c r="L132" s="262"/>
    </row>
    <row r="133" spans="1:36" s="149" customFormat="1" x14ac:dyDescent="0.25">
      <c r="A133" s="700" t="s">
        <v>1091</v>
      </c>
      <c r="B133" s="688" t="s">
        <v>138</v>
      </c>
      <c r="C133" s="262" t="s">
        <v>1200</v>
      </c>
      <c r="D133" s="263"/>
      <c r="E133" s="752"/>
      <c r="F133" s="583"/>
      <c r="G133" s="752"/>
      <c r="H133" s="263">
        <v>33.659999999999997</v>
      </c>
      <c r="I133" s="752">
        <v>2</v>
      </c>
      <c r="J133" s="262"/>
      <c r="K133" s="262"/>
      <c r="L133" s="262"/>
    </row>
    <row r="134" spans="1:36" s="149" customFormat="1" x14ac:dyDescent="0.25">
      <c r="A134" s="699" t="s">
        <v>1090</v>
      </c>
      <c r="B134" s="688" t="s">
        <v>141</v>
      </c>
      <c r="C134" s="262" t="s">
        <v>1200</v>
      </c>
      <c r="D134" s="263"/>
      <c r="E134" s="752"/>
      <c r="F134" s="583"/>
      <c r="G134" s="752"/>
      <c r="H134" s="263">
        <v>33.659999999999997</v>
      </c>
      <c r="I134" s="752">
        <v>0</v>
      </c>
      <c r="J134" s="262"/>
      <c r="K134" s="262"/>
      <c r="L134" s="262"/>
    </row>
    <row r="135" spans="1:36" s="149" customFormat="1" x14ac:dyDescent="0.25">
      <c r="A135" s="699" t="s">
        <v>1089</v>
      </c>
      <c r="B135" s="688" t="s">
        <v>143</v>
      </c>
      <c r="C135" s="266" t="s">
        <v>1200</v>
      </c>
      <c r="D135" s="263"/>
      <c r="E135" s="752"/>
      <c r="F135" s="583"/>
      <c r="G135" s="752"/>
      <c r="H135" s="263">
        <v>33.659999999999997</v>
      </c>
      <c r="I135" s="752">
        <v>16</v>
      </c>
      <c r="J135" s="262"/>
      <c r="K135" s="262"/>
      <c r="L135" s="262"/>
    </row>
    <row r="136" spans="1:36" s="149" customFormat="1" x14ac:dyDescent="0.25">
      <c r="A136" s="699" t="s">
        <v>1088</v>
      </c>
      <c r="B136" s="688" t="s">
        <v>145</v>
      </c>
      <c r="C136" s="262" t="s">
        <v>1200</v>
      </c>
      <c r="D136" s="263"/>
      <c r="E136" s="752"/>
      <c r="F136" s="583"/>
      <c r="G136" s="752"/>
      <c r="H136" s="263">
        <v>354.75</v>
      </c>
      <c r="I136" s="752">
        <v>498</v>
      </c>
      <c r="J136" s="262"/>
      <c r="K136" s="262"/>
      <c r="L136" s="262"/>
    </row>
    <row r="137" spans="1:36" s="149" customFormat="1" x14ac:dyDescent="0.25">
      <c r="A137" s="699" t="s">
        <v>1086</v>
      </c>
      <c r="B137" s="688" t="s">
        <v>147</v>
      </c>
      <c r="C137" s="262" t="s">
        <v>1200</v>
      </c>
      <c r="D137" s="263"/>
      <c r="E137" s="752"/>
      <c r="F137" s="583"/>
      <c r="G137" s="752"/>
      <c r="H137" s="263">
        <v>298.91000000000003</v>
      </c>
      <c r="I137" s="752">
        <v>425</v>
      </c>
      <c r="J137" s="262"/>
      <c r="K137" s="262"/>
      <c r="L137" s="262"/>
    </row>
    <row r="138" spans="1:36" s="149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/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109</v>
      </c>
      <c r="B141" s="727">
        <v>95</v>
      </c>
      <c r="C141" s="262" t="s">
        <v>1194</v>
      </c>
      <c r="D141" s="263"/>
      <c r="E141" s="752"/>
      <c r="F141" s="583"/>
      <c r="G141" s="752"/>
      <c r="H141" s="263">
        <v>57.5</v>
      </c>
      <c r="I141" s="752">
        <v>700</v>
      </c>
      <c r="J141" s="262"/>
      <c r="K141" s="262"/>
      <c r="L141" s="262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ht="26.25" x14ac:dyDescent="0.25">
      <c r="A145" s="699" t="s">
        <v>40</v>
      </c>
      <c r="B145" s="689">
        <v>95</v>
      </c>
      <c r="C145" s="266" t="s">
        <v>1196</v>
      </c>
      <c r="D145" s="263"/>
      <c r="E145" s="752"/>
      <c r="F145" s="583"/>
      <c r="G145" s="752"/>
      <c r="H145" s="263">
        <v>20</v>
      </c>
      <c r="I145" s="752">
        <v>700</v>
      </c>
      <c r="J145" s="262"/>
      <c r="K145" s="262"/>
      <c r="L145" s="262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9" sqref="F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1199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46"/>
      <c r="B4" s="747"/>
      <c r="C4" s="747"/>
      <c r="D4" s="747"/>
      <c r="E4" s="747"/>
      <c r="F4" s="747"/>
      <c r="G4" s="74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493312.86</v>
      </c>
      <c r="D13" s="34"/>
      <c r="E13" s="35" t="s">
        <v>33</v>
      </c>
      <c r="F13" s="34"/>
      <c r="G13" s="42">
        <v>31746.61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2600</v>
      </c>
      <c r="D15" s="34"/>
      <c r="E15" s="35" t="s">
        <v>10</v>
      </c>
      <c r="F15" s="34"/>
      <c r="G15" s="42">
        <v>1371.65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175952</v>
      </c>
      <c r="D17" s="34"/>
      <c r="E17" s="35" t="s">
        <v>278</v>
      </c>
      <c r="F17" s="34"/>
      <c r="G17" s="42">
        <v>8281.52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G1" sqref="G1:G1048576"/>
    </sheetView>
  </sheetViews>
  <sheetFormatPr defaultRowHeight="15" x14ac:dyDescent="0.25"/>
  <cols>
    <col min="1" max="1" width="41.85546875" style="692" customWidth="1"/>
    <col min="2" max="2" width="18.5703125" style="714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7.7109375" style="245" customWidth="1"/>
    <col min="11" max="11" width="25.140625" style="245" customWidth="1"/>
    <col min="12" max="12" width="14.85546875" style="245" customWidth="1"/>
    <col min="13" max="29" width="9.140625" style="184"/>
    <col min="30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705" t="s">
        <v>122</v>
      </c>
      <c r="C1" s="701" t="s">
        <v>1138</v>
      </c>
      <c r="D1" s="702" t="s">
        <v>1048</v>
      </c>
      <c r="E1" s="703" t="s">
        <v>1008</v>
      </c>
      <c r="F1" s="704" t="s">
        <v>1046</v>
      </c>
      <c r="G1" s="703" t="s">
        <v>1008</v>
      </c>
      <c r="H1" s="702" t="s">
        <v>1047</v>
      </c>
      <c r="I1" s="703" t="s">
        <v>1008</v>
      </c>
      <c r="J1" s="701" t="s">
        <v>9</v>
      </c>
      <c r="K1" s="245"/>
      <c r="L1" s="245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706"/>
      <c r="C2" s="249"/>
      <c r="D2" s="250"/>
      <c r="E2" s="251"/>
      <c r="F2" s="543"/>
      <c r="G2" s="251"/>
      <c r="H2" s="250"/>
      <c r="I2" s="251"/>
      <c r="J2" s="249"/>
      <c r="K2" s="249"/>
      <c r="L2" s="249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35">
        <v>3038136345</v>
      </c>
      <c r="C3" s="256" t="s">
        <v>1172</v>
      </c>
      <c r="D3" s="257"/>
      <c r="E3" s="258"/>
      <c r="F3" s="586">
        <v>383.84</v>
      </c>
      <c r="G3" s="258">
        <v>2137</v>
      </c>
      <c r="H3" s="257"/>
      <c r="I3" s="258"/>
      <c r="J3" s="256" t="s">
        <v>10</v>
      </c>
      <c r="K3" s="256"/>
      <c r="L3" s="256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</row>
    <row r="4" spans="1:36" s="149" customFormat="1" x14ac:dyDescent="0.25">
      <c r="A4" s="699" t="s">
        <v>13</v>
      </c>
      <c r="B4" s="734">
        <v>3026210376</v>
      </c>
      <c r="C4" s="262" t="s">
        <v>1174</v>
      </c>
      <c r="D4" s="263"/>
      <c r="E4" s="264"/>
      <c r="F4" s="583">
        <v>90.24</v>
      </c>
      <c r="G4" s="264">
        <v>73</v>
      </c>
      <c r="H4" s="263"/>
      <c r="I4" s="264"/>
      <c r="J4" s="262" t="s">
        <v>10</v>
      </c>
      <c r="K4" s="262"/>
      <c r="L4" s="262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</row>
    <row r="5" spans="1:36" s="148" customFormat="1" x14ac:dyDescent="0.25">
      <c r="A5" s="720" t="s">
        <v>34</v>
      </c>
      <c r="B5" s="735">
        <v>3039472917</v>
      </c>
      <c r="C5" s="256" t="s">
        <v>1173</v>
      </c>
      <c r="D5" s="257"/>
      <c r="E5" s="258"/>
      <c r="F5" s="586">
        <v>80.84</v>
      </c>
      <c r="G5" s="258">
        <v>58</v>
      </c>
      <c r="H5" s="257"/>
      <c r="I5" s="258"/>
      <c r="J5" s="256" t="s">
        <v>10</v>
      </c>
      <c r="K5" s="256"/>
      <c r="L5" s="256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</row>
    <row r="6" spans="1:36" s="149" customFormat="1" x14ac:dyDescent="0.25">
      <c r="A6" s="699" t="s">
        <v>37</v>
      </c>
      <c r="B6" s="734">
        <v>4005211270</v>
      </c>
      <c r="C6" s="262" t="s">
        <v>1175</v>
      </c>
      <c r="D6" s="263"/>
      <c r="E6" s="264"/>
      <c r="F6" s="583">
        <v>206.12</v>
      </c>
      <c r="G6" s="264"/>
      <c r="H6" s="263"/>
      <c r="I6" s="264"/>
      <c r="J6" s="262" t="s">
        <v>10</v>
      </c>
      <c r="K6" s="262"/>
      <c r="L6" s="262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</row>
    <row r="7" spans="1:36" s="149" customFormat="1" ht="13.5" customHeight="1" x14ac:dyDescent="0.25">
      <c r="A7" s="699" t="s">
        <v>41</v>
      </c>
      <c r="B7" s="734">
        <v>3044004323</v>
      </c>
      <c r="C7" s="262" t="s">
        <v>1172</v>
      </c>
      <c r="D7" s="263"/>
      <c r="E7" s="264"/>
      <c r="F7" s="583">
        <v>63.71</v>
      </c>
      <c r="G7" s="264">
        <v>15</v>
      </c>
      <c r="H7" s="263"/>
      <c r="I7" s="264"/>
      <c r="J7" s="262" t="s">
        <v>10</v>
      </c>
      <c r="K7" s="262"/>
      <c r="L7" s="262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</row>
    <row r="8" spans="1:36" s="149" customFormat="1" ht="24" customHeight="1" x14ac:dyDescent="0.25">
      <c r="A8" s="699" t="s">
        <v>42</v>
      </c>
      <c r="B8" s="734">
        <v>3029257704</v>
      </c>
      <c r="C8" s="262" t="s">
        <v>1172</v>
      </c>
      <c r="D8" s="263"/>
      <c r="E8" s="264"/>
      <c r="F8" s="583">
        <v>51.8</v>
      </c>
      <c r="G8" s="264">
        <v>19</v>
      </c>
      <c r="H8" s="263"/>
      <c r="I8" s="264"/>
      <c r="J8" s="262" t="s">
        <v>10</v>
      </c>
      <c r="K8" s="262"/>
      <c r="L8" s="262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</row>
    <row r="9" spans="1:36" s="184" customFormat="1" x14ac:dyDescent="0.25">
      <c r="A9" s="695" t="s">
        <v>44</v>
      </c>
      <c r="B9" s="707">
        <v>3039640691</v>
      </c>
      <c r="C9" s="245"/>
      <c r="D9" s="269"/>
      <c r="E9" s="270"/>
      <c r="F9" s="544"/>
      <c r="G9" s="270"/>
      <c r="H9" s="269"/>
      <c r="I9" s="270"/>
      <c r="J9" s="245" t="s">
        <v>10</v>
      </c>
      <c r="K9" s="245"/>
      <c r="L9" s="245"/>
      <c r="AD9" s="359"/>
      <c r="AE9" s="359"/>
      <c r="AF9" s="359"/>
      <c r="AG9" s="359"/>
      <c r="AH9" s="359"/>
      <c r="AI9" s="359"/>
      <c r="AJ9" s="359"/>
    </row>
    <row r="10" spans="1:36" s="149" customFormat="1" x14ac:dyDescent="0.25">
      <c r="A10" s="699" t="s">
        <v>43</v>
      </c>
      <c r="B10" s="734">
        <v>3039782225</v>
      </c>
      <c r="C10" s="262" t="s">
        <v>1174</v>
      </c>
      <c r="D10" s="263"/>
      <c r="E10" s="264"/>
      <c r="F10" s="583">
        <v>80.84</v>
      </c>
      <c r="G10" s="264">
        <v>58</v>
      </c>
      <c r="H10" s="263"/>
      <c r="I10" s="264"/>
      <c r="J10" s="262" t="s">
        <v>10</v>
      </c>
      <c r="K10" s="262"/>
      <c r="L10" s="262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</row>
    <row r="11" spans="1:36" s="149" customFormat="1" x14ac:dyDescent="0.25">
      <c r="A11" s="699" t="s">
        <v>610</v>
      </c>
      <c r="B11" s="734">
        <v>3039618715</v>
      </c>
      <c r="C11" s="271" t="s">
        <v>1172</v>
      </c>
      <c r="D11" s="263"/>
      <c r="E11" s="264"/>
      <c r="F11" s="583">
        <v>56.93</v>
      </c>
      <c r="G11" s="264">
        <v>3</v>
      </c>
      <c r="H11" s="263"/>
      <c r="I11" s="264"/>
      <c r="J11" s="262" t="s">
        <v>10</v>
      </c>
      <c r="K11" s="262"/>
      <c r="L11" s="262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</row>
    <row r="12" spans="1:36" s="149" customFormat="1" x14ac:dyDescent="0.25">
      <c r="A12" s="699" t="s">
        <v>46</v>
      </c>
      <c r="B12" s="734">
        <v>3023189549</v>
      </c>
      <c r="C12" s="262" t="s">
        <v>1174</v>
      </c>
      <c r="D12" s="263"/>
      <c r="E12" s="264"/>
      <c r="F12" s="583">
        <v>44.51</v>
      </c>
      <c r="G12" s="264">
        <v>0</v>
      </c>
      <c r="H12" s="263"/>
      <c r="I12" s="264"/>
      <c r="J12" s="262" t="s">
        <v>10</v>
      </c>
      <c r="K12" s="262"/>
      <c r="L12" s="262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</row>
    <row r="13" spans="1:36" s="149" customFormat="1" x14ac:dyDescent="0.25">
      <c r="A13" s="699" t="s">
        <v>47</v>
      </c>
      <c r="B13" s="734">
        <v>3034878837</v>
      </c>
      <c r="C13" s="262" t="s">
        <v>1174</v>
      </c>
      <c r="D13" s="263"/>
      <c r="E13" s="264"/>
      <c r="F13" s="583">
        <v>120.3</v>
      </c>
      <c r="G13" s="264">
        <v>121</v>
      </c>
      <c r="H13" s="263"/>
      <c r="I13" s="264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734">
        <v>3025670416</v>
      </c>
      <c r="C14" s="262" t="s">
        <v>1175</v>
      </c>
      <c r="D14" s="263"/>
      <c r="E14" s="264"/>
      <c r="F14" s="583">
        <v>49.52</v>
      </c>
      <c r="G14" s="264">
        <v>8</v>
      </c>
      <c r="H14" s="263"/>
      <c r="I14" s="264"/>
      <c r="J14" s="262" t="s">
        <v>10</v>
      </c>
      <c r="K14" s="262"/>
      <c r="L14" s="262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</row>
    <row r="15" spans="1:36" s="184" customFormat="1" x14ac:dyDescent="0.25">
      <c r="A15" s="695" t="s">
        <v>65</v>
      </c>
      <c r="B15" s="707">
        <v>3023110891</v>
      </c>
      <c r="C15" s="245" t="s">
        <v>1191</v>
      </c>
      <c r="D15" s="269"/>
      <c r="E15" s="270"/>
      <c r="F15" s="544">
        <v>69.73</v>
      </c>
      <c r="G15" s="270">
        <v>96</v>
      </c>
      <c r="H15" s="269"/>
      <c r="I15" s="270"/>
      <c r="J15" s="245" t="s">
        <v>10</v>
      </c>
      <c r="K15" s="245"/>
      <c r="L15" s="245"/>
      <c r="AD15" s="359"/>
      <c r="AE15" s="359"/>
      <c r="AF15" s="359"/>
      <c r="AG15" s="359"/>
      <c r="AH15" s="359"/>
      <c r="AI15" s="359"/>
      <c r="AJ15" s="359"/>
    </row>
    <row r="16" spans="1:36" s="149" customFormat="1" x14ac:dyDescent="0.25">
      <c r="A16" s="699" t="s">
        <v>69</v>
      </c>
      <c r="B16" s="734">
        <v>3022125574</v>
      </c>
      <c r="C16" s="262" t="s">
        <v>1178</v>
      </c>
      <c r="D16" s="263"/>
      <c r="E16" s="264"/>
      <c r="F16" s="583">
        <v>28.76</v>
      </c>
      <c r="G16" s="264">
        <v>12</v>
      </c>
      <c r="H16" s="263"/>
      <c r="I16" s="264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734">
        <v>3022125841</v>
      </c>
      <c r="C17" s="266" t="s">
        <v>1178</v>
      </c>
      <c r="D17" s="263"/>
      <c r="E17" s="264"/>
      <c r="F17" s="583">
        <v>44.51</v>
      </c>
      <c r="G17" s="264">
        <v>0</v>
      </c>
      <c r="H17" s="263"/>
      <c r="I17" s="264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708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  <c r="M18" s="619"/>
      <c r="N18" s="619"/>
      <c r="O18" s="619"/>
      <c r="P18" s="619"/>
      <c r="Q18" s="619"/>
      <c r="R18" s="619"/>
      <c r="S18" s="619"/>
      <c r="T18" s="619"/>
      <c r="U18" s="619"/>
      <c r="V18" s="619"/>
      <c r="W18" s="619"/>
      <c r="X18" s="619"/>
      <c r="Y18" s="619"/>
      <c r="Z18" s="619"/>
      <c r="AA18" s="619"/>
      <c r="AB18" s="619"/>
      <c r="AC18" s="6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733">
        <v>5217000077</v>
      </c>
      <c r="C19" s="563" t="s">
        <v>1187</v>
      </c>
      <c r="D19" s="572">
        <v>30.04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  <c r="M19" s="619"/>
      <c r="N19" s="619"/>
      <c r="O19" s="619"/>
      <c r="P19" s="619"/>
      <c r="Q19" s="619"/>
      <c r="R19" s="619"/>
      <c r="S19" s="619"/>
      <c r="T19" s="619"/>
      <c r="U19" s="619"/>
      <c r="V19" s="619"/>
      <c r="W19" s="619"/>
      <c r="X19" s="619"/>
      <c r="Y19" s="619"/>
      <c r="Z19" s="619"/>
      <c r="AA19" s="619"/>
      <c r="AB19" s="619"/>
      <c r="AC19" s="619"/>
    </row>
    <row r="20" spans="1:36" s="565" customFormat="1" ht="15.75" x14ac:dyDescent="0.25">
      <c r="A20" s="685" t="s">
        <v>831</v>
      </c>
      <c r="B20" s="733">
        <v>5216006440</v>
      </c>
      <c r="C20" s="563" t="s">
        <v>1187</v>
      </c>
      <c r="D20" s="572">
        <v>215.28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</row>
    <row r="21" spans="1:36" s="565" customFormat="1" ht="15.75" x14ac:dyDescent="0.25">
      <c r="A21" s="685" t="s">
        <v>830</v>
      </c>
      <c r="B21" s="733">
        <v>5216006441</v>
      </c>
      <c r="C21" s="609" t="s">
        <v>1187</v>
      </c>
      <c r="D21" s="572">
        <v>937.78</v>
      </c>
      <c r="E21" s="564">
        <v>4560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  <c r="M21" s="619"/>
      <c r="N21" s="619"/>
      <c r="O21" s="619"/>
      <c r="P21" s="619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</row>
    <row r="22" spans="1:36" s="565" customFormat="1" ht="15.75" x14ac:dyDescent="0.25">
      <c r="A22" s="685" t="s">
        <v>855</v>
      </c>
      <c r="B22" s="733">
        <v>5216006442</v>
      </c>
      <c r="C22" s="563" t="s">
        <v>1181</v>
      </c>
      <c r="D22" s="572">
        <v>16.3</v>
      </c>
      <c r="E22" s="564">
        <v>33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36" s="565" customFormat="1" ht="15.75" x14ac:dyDescent="0.25">
      <c r="A23" s="685" t="s">
        <v>828</v>
      </c>
      <c r="B23" s="733">
        <v>5216006443</v>
      </c>
      <c r="C23" s="563" t="s">
        <v>1187</v>
      </c>
      <c r="D23" s="572">
        <v>17.77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</row>
    <row r="24" spans="1:36" s="565" customFormat="1" ht="14.25" customHeight="1" x14ac:dyDescent="0.25">
      <c r="A24" s="685" t="s">
        <v>873</v>
      </c>
      <c r="B24" s="733">
        <v>5216006444</v>
      </c>
      <c r="C24" s="563" t="s">
        <v>1179</v>
      </c>
      <c r="D24" s="572">
        <v>243.78</v>
      </c>
      <c r="E24" s="564">
        <v>2435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</row>
    <row r="25" spans="1:36" s="565" customFormat="1" ht="15.75" x14ac:dyDescent="0.25">
      <c r="A25" s="730" t="s">
        <v>1028</v>
      </c>
      <c r="B25" s="733">
        <v>5216006446</v>
      </c>
      <c r="C25" s="563" t="s">
        <v>1179</v>
      </c>
      <c r="D25" s="572">
        <v>8581.08</v>
      </c>
      <c r="E25" s="564">
        <v>105900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</row>
    <row r="26" spans="1:36" s="565" customFormat="1" ht="15.75" x14ac:dyDescent="0.25">
      <c r="A26" s="685" t="s">
        <v>1188</v>
      </c>
      <c r="B26" s="733">
        <v>5216006447</v>
      </c>
      <c r="C26" s="563" t="s">
        <v>1187</v>
      </c>
      <c r="D26" s="572">
        <v>449.15</v>
      </c>
      <c r="E26" s="564">
        <v>3825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</row>
    <row r="27" spans="1:36" s="565" customFormat="1" ht="15.75" x14ac:dyDescent="0.25">
      <c r="A27" s="685" t="s">
        <v>854</v>
      </c>
      <c r="B27" s="733">
        <v>5216006448</v>
      </c>
      <c r="C27" s="563" t="s">
        <v>1179</v>
      </c>
      <c r="D27" s="572">
        <v>416.19</v>
      </c>
      <c r="E27" s="564">
        <v>600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</row>
    <row r="28" spans="1:36" s="565" customFormat="1" ht="15.75" x14ac:dyDescent="0.25">
      <c r="A28" s="685" t="s">
        <v>853</v>
      </c>
      <c r="B28" s="733">
        <v>5216006449</v>
      </c>
      <c r="C28" s="563" t="s">
        <v>1182</v>
      </c>
      <c r="D28" s="572">
        <v>388.4</v>
      </c>
      <c r="E28" s="564">
        <v>2320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  <c r="M28" s="619"/>
      <c r="N28" s="619"/>
      <c r="O28" s="619"/>
      <c r="P28" s="619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</row>
    <row r="29" spans="1:36" s="565" customFormat="1" ht="15.75" x14ac:dyDescent="0.25">
      <c r="A29" s="685" t="s">
        <v>859</v>
      </c>
      <c r="B29" s="733">
        <v>5216006450</v>
      </c>
      <c r="C29" s="563" t="s">
        <v>1187</v>
      </c>
      <c r="D29" s="572">
        <v>1361.82</v>
      </c>
      <c r="E29" s="564">
        <v>13080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</row>
    <row r="30" spans="1:36" s="565" customFormat="1" ht="15.75" x14ac:dyDescent="0.25">
      <c r="A30" s="685" t="s">
        <v>849</v>
      </c>
      <c r="B30" s="733">
        <v>5216006451</v>
      </c>
      <c r="C30" s="563" t="s">
        <v>1182</v>
      </c>
      <c r="D30" s="572">
        <v>1256.1199999999999</v>
      </c>
      <c r="E30" s="564">
        <v>12825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  <c r="M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</row>
    <row r="31" spans="1:36" s="565" customFormat="1" ht="17.25" customHeight="1" x14ac:dyDescent="0.25">
      <c r="A31" s="697" t="s">
        <v>856</v>
      </c>
      <c r="B31" s="733">
        <v>5216006452</v>
      </c>
      <c r="C31" s="563" t="s">
        <v>1187</v>
      </c>
      <c r="D31" s="572">
        <v>1939.69</v>
      </c>
      <c r="E31" s="564">
        <v>20220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  <c r="M31" s="619"/>
      <c r="N31" s="619"/>
      <c r="O31" s="619"/>
      <c r="P31" s="619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</row>
    <row r="32" spans="1:36" s="565" customFormat="1" ht="27.75" customHeight="1" x14ac:dyDescent="0.25">
      <c r="A32" s="685" t="s">
        <v>872</v>
      </c>
      <c r="B32" s="733">
        <v>5216006453</v>
      </c>
      <c r="C32" s="563" t="s">
        <v>1187</v>
      </c>
      <c r="D32" s="572">
        <v>14.05</v>
      </c>
      <c r="E32" s="564">
        <v>9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</row>
    <row r="33" spans="1:29" s="565" customFormat="1" ht="21" customHeight="1" x14ac:dyDescent="0.25">
      <c r="A33" s="685" t="s">
        <v>858</v>
      </c>
      <c r="B33" s="733">
        <v>5216006454</v>
      </c>
      <c r="C33" s="563" t="s">
        <v>1187</v>
      </c>
      <c r="D33" s="572">
        <v>26.55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  <c r="M33" s="619"/>
      <c r="N33" s="619"/>
      <c r="O33" s="619"/>
      <c r="P33" s="619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19"/>
    </row>
    <row r="34" spans="1:29" s="565" customFormat="1" ht="21" customHeight="1" x14ac:dyDescent="0.25">
      <c r="A34" s="685" t="s">
        <v>1167</v>
      </c>
      <c r="B34" s="733">
        <v>5216006455</v>
      </c>
      <c r="C34" s="563" t="s">
        <v>1178</v>
      </c>
      <c r="D34" s="572">
        <v>25.27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</row>
    <row r="35" spans="1:29" s="565" customFormat="1" ht="21" customHeight="1" x14ac:dyDescent="0.25">
      <c r="A35" s="685" t="s">
        <v>870</v>
      </c>
      <c r="B35" s="733">
        <v>5216006456</v>
      </c>
      <c r="C35" s="563" t="s">
        <v>1186</v>
      </c>
      <c r="D35" s="572">
        <v>299.14999999999998</v>
      </c>
      <c r="E35" s="564">
        <v>2170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  <c r="M35" s="619"/>
      <c r="N35" s="619"/>
      <c r="O35" s="619"/>
      <c r="P35" s="619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</row>
    <row r="36" spans="1:29" s="565" customFormat="1" ht="15.75" x14ac:dyDescent="0.25">
      <c r="A36" s="685" t="s">
        <v>851</v>
      </c>
      <c r="B36" s="733">
        <v>5216006457</v>
      </c>
      <c r="C36" s="563" t="s">
        <v>1186</v>
      </c>
      <c r="D36" s="572">
        <v>147.86000000000001</v>
      </c>
      <c r="E36" s="564">
        <v>1448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</row>
    <row r="37" spans="1:29" s="565" customFormat="1" ht="15.75" x14ac:dyDescent="0.25">
      <c r="A37" s="685" t="s">
        <v>829</v>
      </c>
      <c r="B37" s="733">
        <v>5216006458</v>
      </c>
      <c r="C37" s="563" t="s">
        <v>1180</v>
      </c>
      <c r="D37" s="572">
        <v>609.57000000000005</v>
      </c>
      <c r="E37" s="564">
        <v>6100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619"/>
      <c r="X37" s="619"/>
      <c r="Y37" s="619"/>
      <c r="Z37" s="619"/>
      <c r="AA37" s="619"/>
      <c r="AB37" s="619"/>
      <c r="AC37" s="619"/>
    </row>
    <row r="38" spans="1:29" s="565" customFormat="1" ht="15.75" x14ac:dyDescent="0.25">
      <c r="A38" s="685" t="s">
        <v>850</v>
      </c>
      <c r="B38" s="733">
        <v>5216006459</v>
      </c>
      <c r="C38" s="563" t="s">
        <v>1182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  <c r="M38" s="619"/>
      <c r="N38" s="619"/>
      <c r="O38" s="619"/>
      <c r="P38" s="619"/>
      <c r="Q38" s="619"/>
      <c r="R38" s="619"/>
      <c r="S38" s="619"/>
      <c r="T38" s="619"/>
      <c r="U38" s="619"/>
      <c r="V38" s="619"/>
      <c r="W38" s="619"/>
      <c r="X38" s="619"/>
      <c r="Y38" s="619"/>
      <c r="Z38" s="619"/>
      <c r="AA38" s="619"/>
      <c r="AB38" s="619"/>
      <c r="AC38" s="619"/>
    </row>
    <row r="39" spans="1:29" s="565" customFormat="1" ht="15.75" x14ac:dyDescent="0.25">
      <c r="A39" s="685" t="s">
        <v>848</v>
      </c>
      <c r="B39" s="733">
        <v>5216006460</v>
      </c>
      <c r="C39" s="563" t="s">
        <v>1186</v>
      </c>
      <c r="D39" s="572">
        <v>27.4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  <c r="M39" s="619"/>
      <c r="N39" s="619"/>
      <c r="O39" s="619"/>
      <c r="P39" s="619"/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</row>
    <row r="40" spans="1:29" s="565" customFormat="1" ht="15.75" x14ac:dyDescent="0.25">
      <c r="A40" s="685" t="s">
        <v>874</v>
      </c>
      <c r="B40" s="733">
        <v>5216006461</v>
      </c>
      <c r="C40" s="563" t="s">
        <v>1178</v>
      </c>
      <c r="D40" s="572">
        <v>45.74</v>
      </c>
      <c r="E40" s="564">
        <v>358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</row>
    <row r="41" spans="1:29" s="565" customFormat="1" ht="15.75" x14ac:dyDescent="0.25">
      <c r="A41" s="685" t="s">
        <v>847</v>
      </c>
      <c r="B41" s="733">
        <v>5216007172</v>
      </c>
      <c r="C41" s="563" t="s">
        <v>1182</v>
      </c>
      <c r="D41" s="572">
        <v>17.04</v>
      </c>
      <c r="E41" s="564">
        <v>41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29" s="565" customFormat="1" ht="15.75" x14ac:dyDescent="0.25">
      <c r="A42" s="685" t="s">
        <v>836</v>
      </c>
      <c r="B42" s="733">
        <v>5216006464</v>
      </c>
      <c r="C42" s="563" t="s">
        <v>1187</v>
      </c>
      <c r="D42" s="572">
        <v>17.77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  <c r="M42" s="619"/>
      <c r="N42" s="619"/>
      <c r="O42" s="619"/>
      <c r="P42" s="619"/>
      <c r="Q42" s="619"/>
      <c r="R42" s="619"/>
      <c r="S42" s="619"/>
      <c r="T42" s="619"/>
      <c r="U42" s="619"/>
      <c r="V42" s="619"/>
      <c r="W42" s="619"/>
      <c r="X42" s="619"/>
      <c r="Y42" s="619"/>
      <c r="Z42" s="619"/>
      <c r="AA42" s="619"/>
      <c r="AB42" s="619"/>
      <c r="AC42" s="619"/>
    </row>
    <row r="43" spans="1:29" s="565" customFormat="1" ht="15.75" x14ac:dyDescent="0.25">
      <c r="A43" s="685" t="s">
        <v>837</v>
      </c>
      <c r="B43" s="733">
        <v>5216006465</v>
      </c>
      <c r="C43" s="563" t="s">
        <v>1187</v>
      </c>
      <c r="D43" s="572">
        <v>21.22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  <c r="M43" s="619"/>
      <c r="N43" s="619"/>
      <c r="O43" s="619"/>
      <c r="P43" s="619"/>
      <c r="Q43" s="619"/>
      <c r="R43" s="619"/>
      <c r="S43" s="619"/>
      <c r="T43" s="619"/>
      <c r="U43" s="619"/>
      <c r="V43" s="619"/>
      <c r="W43" s="619"/>
      <c r="X43" s="619"/>
      <c r="Y43" s="619"/>
      <c r="Z43" s="619"/>
      <c r="AA43" s="619"/>
      <c r="AB43" s="619"/>
      <c r="AC43" s="619"/>
    </row>
    <row r="44" spans="1:29" s="565" customFormat="1" ht="15.75" x14ac:dyDescent="0.25">
      <c r="A44" s="685" t="s">
        <v>869</v>
      </c>
      <c r="B44" s="733">
        <v>5216006466</v>
      </c>
      <c r="C44" s="563" t="s">
        <v>1179</v>
      </c>
      <c r="D44" s="572">
        <v>26.44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  <c r="M44" s="619"/>
      <c r="N44" s="619"/>
      <c r="O44" s="619"/>
      <c r="P44" s="619"/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</row>
    <row r="45" spans="1:29" s="565" customFormat="1" ht="15.75" x14ac:dyDescent="0.25">
      <c r="A45" s="685" t="s">
        <v>868</v>
      </c>
      <c r="B45" s="733">
        <v>5216006467</v>
      </c>
      <c r="C45" s="563" t="s">
        <v>1186</v>
      </c>
      <c r="D45" s="572">
        <v>272.33999999999997</v>
      </c>
      <c r="E45" s="564">
        <v>1778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  <c r="M45" s="619"/>
      <c r="N45" s="619"/>
      <c r="O45" s="619"/>
      <c r="P45" s="619"/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</row>
    <row r="46" spans="1:29" s="565" customFormat="1" ht="17.25" customHeight="1" x14ac:dyDescent="0.25">
      <c r="A46" s="685" t="s">
        <v>832</v>
      </c>
      <c r="B46" s="733">
        <v>5216006468</v>
      </c>
      <c r="C46" s="563" t="s">
        <v>1187</v>
      </c>
      <c r="D46" s="572">
        <v>391.86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  <c r="M46" s="619"/>
      <c r="N46" s="619"/>
      <c r="O46" s="619"/>
      <c r="P46" s="619"/>
      <c r="Q46" s="619"/>
      <c r="R46" s="619"/>
      <c r="S46" s="619"/>
      <c r="T46" s="619"/>
      <c r="U46" s="619"/>
      <c r="V46" s="619"/>
      <c r="W46" s="619"/>
      <c r="X46" s="619"/>
      <c r="Y46" s="619"/>
      <c r="Z46" s="619"/>
      <c r="AA46" s="619"/>
      <c r="AB46" s="619"/>
      <c r="AC46" s="619"/>
    </row>
    <row r="47" spans="1:29" s="565" customFormat="1" ht="15.75" x14ac:dyDescent="0.25">
      <c r="A47" s="685" t="s">
        <v>833</v>
      </c>
      <c r="B47" s="733">
        <v>5216006469</v>
      </c>
      <c r="C47" s="563" t="s">
        <v>1187</v>
      </c>
      <c r="D47" s="572">
        <v>278.37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  <c r="M47" s="619"/>
      <c r="N47" s="619"/>
      <c r="O47" s="619"/>
      <c r="P47" s="619"/>
      <c r="Q47" s="619"/>
      <c r="R47" s="619"/>
      <c r="S47" s="619"/>
      <c r="T47" s="619"/>
      <c r="U47" s="619"/>
      <c r="V47" s="619"/>
      <c r="W47" s="619"/>
      <c r="X47" s="619"/>
      <c r="Y47" s="619"/>
      <c r="Z47" s="619"/>
      <c r="AA47" s="619"/>
      <c r="AB47" s="619"/>
      <c r="AC47" s="619"/>
    </row>
    <row r="48" spans="1:29" s="565" customFormat="1" ht="15.75" x14ac:dyDescent="0.25">
      <c r="A48" s="685" t="s">
        <v>976</v>
      </c>
      <c r="B48" s="733">
        <v>5216006470</v>
      </c>
      <c r="C48" s="563" t="s">
        <v>1187</v>
      </c>
      <c r="D48" s="572">
        <v>2060.63</v>
      </c>
      <c r="E48" s="564">
        <v>216000</v>
      </c>
      <c r="F48" s="604"/>
      <c r="G48" s="564"/>
      <c r="H48" s="572"/>
      <c r="I48" s="564"/>
      <c r="J48" s="563"/>
      <c r="K48" s="563"/>
      <c r="L48" s="563"/>
      <c r="M48" s="619"/>
      <c r="N48" s="619"/>
      <c r="O48" s="619"/>
      <c r="P48" s="619"/>
      <c r="Q48" s="619"/>
      <c r="R48" s="619"/>
      <c r="S48" s="619"/>
      <c r="T48" s="619"/>
      <c r="U48" s="619"/>
      <c r="V48" s="619"/>
      <c r="W48" s="619"/>
      <c r="X48" s="619"/>
      <c r="Y48" s="619"/>
      <c r="Z48" s="619"/>
      <c r="AA48" s="619"/>
      <c r="AB48" s="619"/>
      <c r="AC48" s="619"/>
    </row>
    <row r="49" spans="1:36" s="565" customFormat="1" ht="15.75" x14ac:dyDescent="0.25">
      <c r="A49" s="685" t="s">
        <v>852</v>
      </c>
      <c r="B49" s="733">
        <v>5216006471</v>
      </c>
      <c r="C49" s="563" t="s">
        <v>1186</v>
      </c>
      <c r="D49" s="572">
        <v>27.4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  <c r="M49" s="619"/>
      <c r="N49" s="619"/>
      <c r="O49" s="619"/>
      <c r="P49" s="619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</row>
    <row r="50" spans="1:36" s="565" customFormat="1" ht="15.75" x14ac:dyDescent="0.25">
      <c r="A50" s="685" t="s">
        <v>867</v>
      </c>
      <c r="B50" s="733">
        <v>5216006472</v>
      </c>
      <c r="C50" s="563" t="s">
        <v>1169</v>
      </c>
      <c r="D50" s="572">
        <v>27.9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  <c r="M50" s="619"/>
      <c r="N50" s="619"/>
      <c r="O50" s="619"/>
      <c r="P50" s="619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</row>
    <row r="51" spans="1:36" s="565" customFormat="1" ht="15.75" x14ac:dyDescent="0.25">
      <c r="A51" s="685" t="s">
        <v>840</v>
      </c>
      <c r="B51" s="733">
        <v>5216006473</v>
      </c>
      <c r="C51" s="563" t="s">
        <v>1178</v>
      </c>
      <c r="D51" s="572">
        <v>77.63</v>
      </c>
      <c r="E51" s="564">
        <v>641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  <c r="M51" s="619"/>
      <c r="N51" s="619"/>
      <c r="O51" s="619"/>
      <c r="P51" s="619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</row>
    <row r="52" spans="1:36" s="565" customFormat="1" ht="15.75" x14ac:dyDescent="0.25">
      <c r="A52" s="685" t="s">
        <v>839</v>
      </c>
      <c r="B52" s="733">
        <v>5216006474</v>
      </c>
      <c r="C52" s="563" t="s">
        <v>1186</v>
      </c>
      <c r="D52" s="572">
        <v>114.11</v>
      </c>
      <c r="E52" s="564">
        <v>1085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  <c r="M52" s="619"/>
      <c r="N52" s="619"/>
      <c r="O52" s="619"/>
      <c r="P52" s="619"/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</row>
    <row r="53" spans="1:36" s="565" customFormat="1" ht="15.75" x14ac:dyDescent="0.25">
      <c r="A53" s="685" t="s">
        <v>841</v>
      </c>
      <c r="B53" s="733">
        <v>5216006475</v>
      </c>
      <c r="C53" s="563" t="s">
        <v>1187</v>
      </c>
      <c r="D53" s="572">
        <v>26.55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  <c r="M53" s="619"/>
      <c r="N53" s="619"/>
      <c r="O53" s="619"/>
      <c r="P53" s="619"/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</row>
    <row r="54" spans="1:36" s="619" customFormat="1" ht="15.75" x14ac:dyDescent="0.25">
      <c r="A54" s="686" t="s">
        <v>846</v>
      </c>
      <c r="B54" s="709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  <c r="AD54" s="719"/>
      <c r="AE54" s="719"/>
      <c r="AF54" s="719"/>
      <c r="AG54" s="719"/>
      <c r="AH54" s="719"/>
      <c r="AI54" s="719"/>
      <c r="AJ54" s="719"/>
    </row>
    <row r="55" spans="1:36" s="565" customFormat="1" ht="15.75" x14ac:dyDescent="0.25">
      <c r="A55" s="685" t="s">
        <v>845</v>
      </c>
      <c r="B55" s="733">
        <v>5216006477</v>
      </c>
      <c r="C55" s="563" t="s">
        <v>1182</v>
      </c>
      <c r="D55" s="572">
        <v>48.03</v>
      </c>
      <c r="E55" s="564">
        <v>41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  <c r="M55" s="619"/>
      <c r="N55" s="619"/>
      <c r="O55" s="619"/>
      <c r="P55" s="619"/>
      <c r="Q55" s="619"/>
      <c r="R55" s="619"/>
      <c r="S55" s="619"/>
      <c r="T55" s="619"/>
      <c r="U55" s="619"/>
      <c r="V55" s="619"/>
      <c r="W55" s="619"/>
      <c r="X55" s="619"/>
      <c r="Y55" s="619"/>
      <c r="Z55" s="619"/>
      <c r="AA55" s="619"/>
      <c r="AB55" s="619"/>
      <c r="AC55" s="619"/>
    </row>
    <row r="56" spans="1:36" s="565" customFormat="1" ht="15.75" x14ac:dyDescent="0.25">
      <c r="A56" s="685" t="s">
        <v>866</v>
      </c>
      <c r="B56" s="733">
        <v>5216006478</v>
      </c>
      <c r="C56" s="563" t="s">
        <v>1180</v>
      </c>
      <c r="D56" s="572">
        <v>30.38</v>
      </c>
      <c r="E56" s="564">
        <v>183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36" s="565" customFormat="1" ht="15.75" x14ac:dyDescent="0.25">
      <c r="A57" s="685" t="s">
        <v>844</v>
      </c>
      <c r="B57" s="733">
        <v>5216006479</v>
      </c>
      <c r="C57" s="563" t="s">
        <v>1185</v>
      </c>
      <c r="D57" s="572">
        <v>131.18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36" s="565" customFormat="1" ht="15.75" x14ac:dyDescent="0.25">
      <c r="A58" s="685" t="s">
        <v>877</v>
      </c>
      <c r="B58" s="733">
        <v>5216006481</v>
      </c>
      <c r="C58" s="563" t="s">
        <v>1186</v>
      </c>
      <c r="D58" s="572">
        <v>969.14</v>
      </c>
      <c r="E58" s="564">
        <v>9960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36" s="565" customFormat="1" ht="15.75" x14ac:dyDescent="0.25">
      <c r="A59" s="685" t="s">
        <v>865</v>
      </c>
      <c r="B59" s="733">
        <v>5216006482</v>
      </c>
      <c r="C59" s="563" t="s">
        <v>1182</v>
      </c>
      <c r="D59" s="572">
        <v>335.44</v>
      </c>
      <c r="E59" s="564">
        <v>2541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36" s="565" customFormat="1" ht="15.75" x14ac:dyDescent="0.25">
      <c r="A60" s="685" t="s">
        <v>860</v>
      </c>
      <c r="B60" s="733">
        <v>5216006483</v>
      </c>
      <c r="C60" s="563" t="s">
        <v>1178</v>
      </c>
      <c r="D60" s="572">
        <v>107.25</v>
      </c>
      <c r="E60" s="564">
        <v>1035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36" s="565" customFormat="1" ht="15.75" x14ac:dyDescent="0.25">
      <c r="A61" s="685" t="s">
        <v>864</v>
      </c>
      <c r="B61" s="733">
        <v>5216006484</v>
      </c>
      <c r="C61" s="563" t="s">
        <v>1186</v>
      </c>
      <c r="D61" s="572">
        <v>68.63</v>
      </c>
      <c r="E61" s="564">
        <v>596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36" s="565" customFormat="1" ht="15.75" x14ac:dyDescent="0.25">
      <c r="A62" s="685" t="s">
        <v>861</v>
      </c>
      <c r="B62" s="733">
        <v>5216006485</v>
      </c>
      <c r="C62" s="563" t="s">
        <v>1187</v>
      </c>
      <c r="D62" s="572">
        <v>753.21</v>
      </c>
      <c r="E62" s="564">
        <v>7017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36" s="565" customFormat="1" ht="15.75" x14ac:dyDescent="0.25">
      <c r="A63" s="685" t="s">
        <v>935</v>
      </c>
      <c r="B63" s="733">
        <v>5216006486</v>
      </c>
      <c r="C63" s="563" t="s">
        <v>1187</v>
      </c>
      <c r="D63" s="572">
        <v>29.268999999999998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36" s="565" customFormat="1" ht="15.75" x14ac:dyDescent="0.25">
      <c r="A64" s="685" t="s">
        <v>910</v>
      </c>
      <c r="B64" s="733">
        <v>5216007171</v>
      </c>
      <c r="C64" s="563" t="s">
        <v>1185</v>
      </c>
      <c r="D64" s="572">
        <v>13.87</v>
      </c>
      <c r="E64" s="564">
        <v>7</v>
      </c>
      <c r="F64" s="604"/>
      <c r="G64" s="564"/>
      <c r="H64" s="572"/>
      <c r="I64" s="564"/>
      <c r="J64" s="563"/>
      <c r="K64" s="563"/>
      <c r="L64" s="563"/>
    </row>
    <row r="65" spans="1:36" s="565" customFormat="1" ht="15.75" x14ac:dyDescent="0.25">
      <c r="A65" s="685" t="s">
        <v>862</v>
      </c>
      <c r="B65" s="733">
        <v>5216006487</v>
      </c>
      <c r="C65" s="563" t="s">
        <v>1187</v>
      </c>
      <c r="D65" s="572">
        <v>1305.7</v>
      </c>
      <c r="E65" s="564">
        <v>9000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  <c r="M65" s="619"/>
      <c r="N65" s="619"/>
      <c r="O65" s="619"/>
      <c r="P65" s="619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</row>
    <row r="66" spans="1:36" s="565" customFormat="1" ht="15.75" x14ac:dyDescent="0.25">
      <c r="A66" s="685" t="s">
        <v>843</v>
      </c>
      <c r="B66" s="733">
        <v>5216006488</v>
      </c>
      <c r="C66" s="609" t="s">
        <v>1179</v>
      </c>
      <c r="D66" s="572">
        <v>36.520000000000003</v>
      </c>
      <c r="E66" s="564">
        <v>253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  <c r="M66" s="619"/>
      <c r="N66" s="619"/>
      <c r="O66" s="619"/>
      <c r="P66" s="619"/>
      <c r="Q66" s="619"/>
      <c r="R66" s="619"/>
      <c r="S66" s="619"/>
      <c r="T66" s="619"/>
      <c r="U66" s="619"/>
      <c r="V66" s="619"/>
      <c r="W66" s="619"/>
      <c r="X66" s="619"/>
      <c r="Y66" s="619"/>
      <c r="Z66" s="619"/>
      <c r="AA66" s="619"/>
      <c r="AB66" s="619"/>
      <c r="AC66" s="619"/>
    </row>
    <row r="67" spans="1:36" s="565" customFormat="1" ht="16.5" customHeight="1" x14ac:dyDescent="0.25">
      <c r="A67" s="685" t="s">
        <v>842</v>
      </c>
      <c r="B67" s="733">
        <v>5216006489</v>
      </c>
      <c r="C67" s="563" t="s">
        <v>1179</v>
      </c>
      <c r="D67" s="572">
        <v>55.32</v>
      </c>
      <c r="E67" s="564">
        <v>457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  <c r="M67" s="619"/>
      <c r="N67" s="619"/>
      <c r="O67" s="619"/>
      <c r="P67" s="619"/>
      <c r="Q67" s="619"/>
      <c r="R67" s="619"/>
      <c r="S67" s="619"/>
      <c r="T67" s="619"/>
      <c r="U67" s="619"/>
      <c r="V67" s="619"/>
      <c r="W67" s="619"/>
      <c r="X67" s="619"/>
      <c r="Y67" s="619"/>
      <c r="Z67" s="619"/>
      <c r="AA67" s="619"/>
      <c r="AB67" s="619"/>
      <c r="AC67" s="619"/>
    </row>
    <row r="68" spans="1:36" s="199" customFormat="1" ht="26.25" x14ac:dyDescent="0.25">
      <c r="A68" s="698" t="s">
        <v>878</v>
      </c>
      <c r="B68" s="710"/>
      <c r="C68" s="249"/>
      <c r="D68" s="250"/>
      <c r="E68" s="251"/>
      <c r="F68" s="543"/>
      <c r="G68" s="251"/>
      <c r="H68" s="250"/>
      <c r="I68" s="251"/>
      <c r="J68" s="249"/>
      <c r="K68" s="249"/>
      <c r="L68" s="249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734" t="s">
        <v>208</v>
      </c>
      <c r="C69" s="266" t="s">
        <v>1177</v>
      </c>
      <c r="D69" s="263">
        <v>267</v>
      </c>
      <c r="E69" s="264">
        <v>2614</v>
      </c>
      <c r="F69" s="583"/>
      <c r="G69" s="264"/>
      <c r="H69" s="263"/>
      <c r="I69" s="264"/>
      <c r="J69" s="262" t="s">
        <v>33</v>
      </c>
      <c r="K69" s="262"/>
      <c r="L69" s="262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</row>
    <row r="70" spans="1:36" s="149" customFormat="1" ht="26.25" x14ac:dyDescent="0.25">
      <c r="A70" s="699" t="s">
        <v>52</v>
      </c>
      <c r="B70" s="734" t="s">
        <v>209</v>
      </c>
      <c r="C70" s="266" t="s">
        <v>1177</v>
      </c>
      <c r="D70" s="263">
        <v>136</v>
      </c>
      <c r="E70" s="264">
        <v>948</v>
      </c>
      <c r="F70" s="583"/>
      <c r="G70" s="264"/>
      <c r="H70" s="263"/>
      <c r="I70" s="264"/>
      <c r="J70" s="262" t="s">
        <v>33</v>
      </c>
      <c r="K70" s="262"/>
      <c r="L70" s="262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</row>
    <row r="71" spans="1:36" s="149" customFormat="1" ht="15" customHeight="1" x14ac:dyDescent="0.25">
      <c r="A71" s="699" t="s">
        <v>54</v>
      </c>
      <c r="B71" s="734">
        <v>7039100</v>
      </c>
      <c r="C71" s="266" t="s">
        <v>1177</v>
      </c>
      <c r="D71" s="263">
        <v>89</v>
      </c>
      <c r="E71" s="264">
        <v>426</v>
      </c>
      <c r="F71" s="583"/>
      <c r="G71" s="264"/>
      <c r="H71" s="263"/>
      <c r="I71" s="264"/>
      <c r="J71" s="262" t="s">
        <v>33</v>
      </c>
      <c r="K71" s="262"/>
      <c r="L71" s="262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</row>
    <row r="72" spans="1:36" s="149" customFormat="1" hidden="1" x14ac:dyDescent="0.25">
      <c r="A72" s="699" t="s">
        <v>55</v>
      </c>
      <c r="B72" s="734" t="s">
        <v>212</v>
      </c>
      <c r="C72" s="266"/>
      <c r="D72" s="263"/>
      <c r="E72" s="264"/>
      <c r="F72" s="583"/>
      <c r="G72" s="264"/>
      <c r="H72" s="263"/>
      <c r="I72" s="264"/>
      <c r="J72" s="262" t="s">
        <v>33</v>
      </c>
      <c r="K72" s="262"/>
      <c r="L72" s="262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</row>
    <row r="73" spans="1:36" s="149" customFormat="1" x14ac:dyDescent="0.25">
      <c r="A73" s="699" t="s">
        <v>56</v>
      </c>
      <c r="B73" s="734" t="s">
        <v>213</v>
      </c>
      <c r="C73" s="266" t="s">
        <v>1177</v>
      </c>
      <c r="D73" s="263">
        <v>36</v>
      </c>
      <c r="E73" s="264">
        <v>66</v>
      </c>
      <c r="F73" s="583"/>
      <c r="G73" s="264"/>
      <c r="H73" s="263"/>
      <c r="I73" s="264"/>
      <c r="J73" s="262" t="s">
        <v>33</v>
      </c>
      <c r="K73" s="262"/>
      <c r="L73" s="262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</row>
    <row r="74" spans="1:36" s="149" customFormat="1" x14ac:dyDescent="0.25">
      <c r="A74" s="699" t="s">
        <v>55</v>
      </c>
      <c r="B74" s="734">
        <v>7053200</v>
      </c>
      <c r="C74" s="266" t="s">
        <v>1177</v>
      </c>
      <c r="D74" s="263">
        <v>39</v>
      </c>
      <c r="E74" s="264">
        <v>95</v>
      </c>
      <c r="F74" s="583"/>
      <c r="G74" s="264"/>
      <c r="H74" s="263"/>
      <c r="I74" s="264"/>
      <c r="J74" s="262"/>
      <c r="K74" s="262"/>
      <c r="L74" s="262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</row>
    <row r="75" spans="1:36" s="149" customFormat="1" x14ac:dyDescent="0.25">
      <c r="A75" s="699" t="s">
        <v>57</v>
      </c>
      <c r="B75" s="734" t="s">
        <v>214</v>
      </c>
      <c r="C75" s="266" t="s">
        <v>1177</v>
      </c>
      <c r="D75" s="263">
        <v>235</v>
      </c>
      <c r="E75" s="264">
        <v>2038</v>
      </c>
      <c r="F75" s="583"/>
      <c r="G75" s="264"/>
      <c r="H75" s="263"/>
      <c r="I75" s="264"/>
      <c r="J75" s="262" t="s">
        <v>33</v>
      </c>
      <c r="K75" s="262"/>
      <c r="L75" s="262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</row>
    <row r="76" spans="1:36" s="149" customFormat="1" x14ac:dyDescent="0.25">
      <c r="A76" s="699" t="s">
        <v>58</v>
      </c>
      <c r="B76" s="734" t="s">
        <v>215</v>
      </c>
      <c r="C76" s="266" t="s">
        <v>1177</v>
      </c>
      <c r="D76" s="263">
        <v>109</v>
      </c>
      <c r="E76" s="264">
        <v>964</v>
      </c>
      <c r="F76" s="583"/>
      <c r="G76" s="264"/>
      <c r="H76" s="263"/>
      <c r="I76" s="264"/>
      <c r="J76" s="262" t="s">
        <v>33</v>
      </c>
      <c r="K76" s="262"/>
      <c r="L76" s="262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</row>
    <row r="77" spans="1:36" s="149" customFormat="1" x14ac:dyDescent="0.25">
      <c r="A77" s="699" t="s">
        <v>770</v>
      </c>
      <c r="B77" s="734" t="s">
        <v>216</v>
      </c>
      <c r="C77" s="266" t="s">
        <v>1177</v>
      </c>
      <c r="D77" s="263">
        <v>63</v>
      </c>
      <c r="E77" s="264">
        <v>356</v>
      </c>
      <c r="F77" s="583"/>
      <c r="G77" s="264"/>
      <c r="H77" s="263"/>
      <c r="I77" s="264"/>
      <c r="J77" s="262" t="s">
        <v>33</v>
      </c>
      <c r="K77" s="262"/>
      <c r="L77" s="262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</row>
    <row r="78" spans="1:36" s="149" customFormat="1" x14ac:dyDescent="0.25">
      <c r="A78" s="699" t="s">
        <v>60</v>
      </c>
      <c r="B78" s="734" t="s">
        <v>217</v>
      </c>
      <c r="C78" s="266" t="s">
        <v>1177</v>
      </c>
      <c r="D78" s="263">
        <v>59</v>
      </c>
      <c r="E78" s="264">
        <v>94</v>
      </c>
      <c r="F78" s="583"/>
      <c r="G78" s="264"/>
      <c r="H78" s="263"/>
      <c r="I78" s="264"/>
      <c r="J78" s="262" t="s">
        <v>33</v>
      </c>
      <c r="K78" s="262"/>
      <c r="L78" s="262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</row>
    <row r="79" spans="1:36" s="149" customFormat="1" x14ac:dyDescent="0.25">
      <c r="A79" s="699" t="s">
        <v>61</v>
      </c>
      <c r="B79" s="734" t="s">
        <v>218</v>
      </c>
      <c r="C79" s="266" t="s">
        <v>1177</v>
      </c>
      <c r="D79" s="263">
        <v>31</v>
      </c>
      <c r="E79" s="264">
        <v>3</v>
      </c>
      <c r="F79" s="583"/>
      <c r="G79" s="264"/>
      <c r="H79" s="263"/>
      <c r="I79" s="264"/>
      <c r="J79" s="262" t="s">
        <v>33</v>
      </c>
      <c r="K79" s="262"/>
      <c r="L79" s="262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</row>
    <row r="80" spans="1:36" s="149" customFormat="1" x14ac:dyDescent="0.25">
      <c r="A80" s="699" t="s">
        <v>62</v>
      </c>
      <c r="B80" s="734" t="s">
        <v>219</v>
      </c>
      <c r="C80" s="266" t="s">
        <v>1177</v>
      </c>
      <c r="D80" s="263">
        <v>32</v>
      </c>
      <c r="E80" s="264">
        <v>16</v>
      </c>
      <c r="F80" s="583"/>
      <c r="G80" s="264"/>
      <c r="H80" s="263"/>
      <c r="I80" s="264"/>
      <c r="J80" s="262" t="s">
        <v>33</v>
      </c>
      <c r="K80" s="262"/>
      <c r="L80" s="262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</row>
    <row r="81" spans="1:29" s="149" customFormat="1" x14ac:dyDescent="0.25">
      <c r="A81" s="699" t="s">
        <v>771</v>
      </c>
      <c r="B81" s="734">
        <v>1402294701</v>
      </c>
      <c r="C81" s="266" t="s">
        <v>1177</v>
      </c>
      <c r="D81" s="263">
        <v>50.09</v>
      </c>
      <c r="E81" s="264">
        <v>1</v>
      </c>
      <c r="F81" s="583"/>
      <c r="G81" s="264"/>
      <c r="H81" s="263"/>
      <c r="I81" s="264"/>
      <c r="J81" s="262"/>
      <c r="K81" s="262"/>
      <c r="L81" s="262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</row>
    <row r="82" spans="1:29" s="148" customFormat="1" x14ac:dyDescent="0.25">
      <c r="A82" s="720" t="s">
        <v>621</v>
      </c>
      <c r="B82" s="735" t="s">
        <v>201</v>
      </c>
      <c r="C82" s="738" t="s">
        <v>1177</v>
      </c>
      <c r="D82" s="257">
        <v>131</v>
      </c>
      <c r="E82" s="258">
        <v>940</v>
      </c>
      <c r="F82" s="586"/>
      <c r="G82" s="258"/>
      <c r="H82" s="257"/>
      <c r="I82" s="258"/>
      <c r="J82" s="256" t="s">
        <v>33</v>
      </c>
      <c r="K82" s="256"/>
      <c r="L82" s="256"/>
    </row>
    <row r="83" spans="1:29" s="149" customFormat="1" x14ac:dyDescent="0.25">
      <c r="A83" s="699" t="s">
        <v>768</v>
      </c>
      <c r="B83" s="734" t="s">
        <v>202</v>
      </c>
      <c r="C83" s="266" t="s">
        <v>1177</v>
      </c>
      <c r="D83" s="263">
        <v>1676</v>
      </c>
      <c r="E83" s="264">
        <v>13680</v>
      </c>
      <c r="F83" s="583"/>
      <c r="G83" s="264"/>
      <c r="H83" s="263"/>
      <c r="I83" s="264"/>
      <c r="J83" s="262" t="s">
        <v>33</v>
      </c>
      <c r="K83" s="262"/>
      <c r="L83" s="262"/>
    </row>
    <row r="84" spans="1:29" s="149" customFormat="1" x14ac:dyDescent="0.25">
      <c r="A84" s="699" t="s">
        <v>96</v>
      </c>
      <c r="B84" s="734">
        <v>7815400</v>
      </c>
      <c r="C84" s="262" t="s">
        <v>1177</v>
      </c>
      <c r="D84" s="263">
        <v>42</v>
      </c>
      <c r="E84" s="264">
        <v>39</v>
      </c>
      <c r="F84" s="583"/>
      <c r="G84" s="264"/>
      <c r="H84" s="263"/>
      <c r="I84" s="264"/>
      <c r="J84" s="262" t="s">
        <v>33</v>
      </c>
      <c r="K84" s="262"/>
      <c r="L84" s="262"/>
    </row>
    <row r="85" spans="1:29" s="149" customFormat="1" x14ac:dyDescent="0.25">
      <c r="A85" s="699" t="s">
        <v>97</v>
      </c>
      <c r="B85" s="734" t="s">
        <v>204</v>
      </c>
      <c r="C85" s="262" t="s">
        <v>1177</v>
      </c>
      <c r="D85" s="263">
        <v>57</v>
      </c>
      <c r="E85" s="264">
        <v>14</v>
      </c>
      <c r="F85" s="583"/>
      <c r="G85" s="264"/>
      <c r="H85" s="263"/>
      <c r="I85" s="264"/>
      <c r="J85" s="262" t="s">
        <v>33</v>
      </c>
      <c r="K85" s="262"/>
      <c r="L85" s="262"/>
    </row>
    <row r="86" spans="1:29" s="149" customFormat="1" x14ac:dyDescent="0.25">
      <c r="A86" s="699" t="s">
        <v>98</v>
      </c>
      <c r="B86" s="734" t="s">
        <v>205</v>
      </c>
      <c r="C86" s="262" t="s">
        <v>1177</v>
      </c>
      <c r="D86" s="263">
        <v>31</v>
      </c>
      <c r="E86" s="264">
        <v>8</v>
      </c>
      <c r="F86" s="583"/>
      <c r="G86" s="264"/>
      <c r="H86" s="263"/>
      <c r="I86" s="264"/>
      <c r="J86" s="262" t="s">
        <v>33</v>
      </c>
      <c r="K86" s="262"/>
      <c r="L86" s="262"/>
    </row>
    <row r="87" spans="1:29" s="149" customFormat="1" x14ac:dyDescent="0.25">
      <c r="A87" s="699" t="s">
        <v>769</v>
      </c>
      <c r="B87" s="734" t="s">
        <v>206</v>
      </c>
      <c r="C87" s="262" t="s">
        <v>1177</v>
      </c>
      <c r="D87" s="263">
        <v>77</v>
      </c>
      <c r="E87" s="264">
        <v>430</v>
      </c>
      <c r="F87" s="583"/>
      <c r="G87" s="264"/>
      <c r="H87" s="263"/>
      <c r="I87" s="264"/>
      <c r="J87" s="262" t="s">
        <v>33</v>
      </c>
      <c r="K87" s="262"/>
      <c r="L87" s="262"/>
    </row>
    <row r="88" spans="1:29" s="149" customFormat="1" x14ac:dyDescent="0.25">
      <c r="A88" s="699" t="s">
        <v>100</v>
      </c>
      <c r="B88" s="739">
        <v>1323346600</v>
      </c>
      <c r="C88" s="262" t="s">
        <v>1177</v>
      </c>
      <c r="D88" s="263">
        <v>739</v>
      </c>
      <c r="E88" s="264">
        <v>6600</v>
      </c>
      <c r="F88" s="583"/>
      <c r="G88" s="264"/>
      <c r="H88" s="263"/>
      <c r="I88" s="264"/>
      <c r="J88" s="262" t="s">
        <v>33</v>
      </c>
      <c r="K88" s="262"/>
      <c r="L88" s="262"/>
    </row>
    <row r="89" spans="1:29" s="149" customFormat="1" x14ac:dyDescent="0.25">
      <c r="A89" s="699" t="s">
        <v>101</v>
      </c>
      <c r="B89" s="739">
        <v>1322699400</v>
      </c>
      <c r="C89" s="266" t="s">
        <v>1177</v>
      </c>
      <c r="D89" s="263">
        <v>477</v>
      </c>
      <c r="E89" s="264">
        <v>4320</v>
      </c>
      <c r="F89" s="583"/>
      <c r="G89" s="264"/>
      <c r="H89" s="263"/>
      <c r="I89" s="264"/>
      <c r="J89" s="262" t="s">
        <v>33</v>
      </c>
      <c r="K89" s="262"/>
      <c r="L89" s="262"/>
    </row>
    <row r="90" spans="1:29" s="352" customFormat="1" x14ac:dyDescent="0.25">
      <c r="A90" s="700" t="s">
        <v>772</v>
      </c>
      <c r="B90" s="737" t="s">
        <v>200</v>
      </c>
      <c r="C90" s="348" t="s">
        <v>1177</v>
      </c>
      <c r="D90" s="349">
        <v>270</v>
      </c>
      <c r="E90" s="350">
        <v>16.86</v>
      </c>
      <c r="F90" s="593"/>
      <c r="G90" s="350"/>
      <c r="H90" s="349"/>
      <c r="I90" s="350"/>
      <c r="J90" s="348" t="s">
        <v>33</v>
      </c>
      <c r="K90" s="348"/>
      <c r="L90" s="348"/>
    </row>
    <row r="91" spans="1:29" s="149" customFormat="1" x14ac:dyDescent="0.25">
      <c r="A91" s="699" t="s">
        <v>110</v>
      </c>
      <c r="B91" s="734" t="s">
        <v>207</v>
      </c>
      <c r="C91" s="262" t="s">
        <v>1177</v>
      </c>
      <c r="D91" s="263">
        <v>114</v>
      </c>
      <c r="E91" s="264">
        <v>230</v>
      </c>
      <c r="F91" s="583"/>
      <c r="G91" s="264"/>
      <c r="H91" s="263"/>
      <c r="I91" s="264"/>
      <c r="J91" s="262" t="s">
        <v>33</v>
      </c>
      <c r="K91" s="262"/>
      <c r="L91" s="262"/>
    </row>
    <row r="92" spans="1:29" s="184" customFormat="1" x14ac:dyDescent="0.25">
      <c r="A92" s="695" t="s">
        <v>111</v>
      </c>
      <c r="B92" s="707" t="s">
        <v>222</v>
      </c>
      <c r="C92" s="245"/>
      <c r="D92" s="269"/>
      <c r="E92" s="270"/>
      <c r="F92" s="544"/>
      <c r="G92" s="270"/>
      <c r="H92" s="269"/>
      <c r="I92" s="270"/>
      <c r="J92" s="245" t="s">
        <v>33</v>
      </c>
      <c r="K92" s="245"/>
      <c r="L92" s="245"/>
    </row>
    <row r="93" spans="1:29" s="149" customFormat="1" ht="15.75" customHeight="1" x14ac:dyDescent="0.25">
      <c r="A93" s="699" t="s">
        <v>117</v>
      </c>
      <c r="B93" s="734" t="s">
        <v>220</v>
      </c>
      <c r="C93" s="262" t="s">
        <v>1177</v>
      </c>
      <c r="D93" s="263">
        <v>103</v>
      </c>
      <c r="E93" s="264">
        <v>600</v>
      </c>
      <c r="F93" s="583"/>
      <c r="G93" s="264"/>
      <c r="H93" s="263"/>
      <c r="I93" s="264"/>
      <c r="J93" s="262" t="s">
        <v>33</v>
      </c>
      <c r="K93" s="262"/>
      <c r="L93" s="262"/>
    </row>
    <row r="94" spans="1:29" s="149" customFormat="1" x14ac:dyDescent="0.25">
      <c r="A94" s="699" t="s">
        <v>118</v>
      </c>
      <c r="B94" s="734" t="s">
        <v>221</v>
      </c>
      <c r="C94" s="266" t="s">
        <v>1177</v>
      </c>
      <c r="D94" s="263">
        <v>89</v>
      </c>
      <c r="E94" s="264">
        <v>645</v>
      </c>
      <c r="F94" s="583"/>
      <c r="G94" s="264"/>
      <c r="H94" s="263"/>
      <c r="I94" s="264"/>
      <c r="J94" s="262" t="s">
        <v>33</v>
      </c>
      <c r="K94" s="262"/>
      <c r="L94" s="262"/>
    </row>
    <row r="95" spans="1:29" s="149" customFormat="1" x14ac:dyDescent="0.25">
      <c r="A95" s="699" t="s">
        <v>701</v>
      </c>
      <c r="B95" s="734">
        <v>1323115001</v>
      </c>
      <c r="C95" s="266" t="s">
        <v>1177</v>
      </c>
      <c r="D95" s="263">
        <v>1683</v>
      </c>
      <c r="E95" s="264">
        <v>21960</v>
      </c>
      <c r="F95" s="583"/>
      <c r="G95" s="264"/>
      <c r="H95" s="263"/>
      <c r="I95" s="264"/>
      <c r="J95" s="262"/>
      <c r="K95" s="262"/>
      <c r="L95" s="262"/>
    </row>
    <row r="96" spans="1:29" s="149" customFormat="1" x14ac:dyDescent="0.25">
      <c r="A96" s="699" t="s">
        <v>683</v>
      </c>
      <c r="B96" s="734">
        <v>1322673502</v>
      </c>
      <c r="C96" s="266" t="s">
        <v>1177</v>
      </c>
      <c r="D96" s="263">
        <v>196</v>
      </c>
      <c r="E96" s="264">
        <v>1601</v>
      </c>
      <c r="F96" s="583"/>
      <c r="G96" s="264"/>
      <c r="H96" s="263"/>
      <c r="I96" s="264"/>
      <c r="J96" s="262"/>
      <c r="K96" s="262"/>
      <c r="L96" s="262"/>
    </row>
    <row r="97" spans="1:36" s="149" customFormat="1" x14ac:dyDescent="0.25">
      <c r="A97" s="699" t="s">
        <v>702</v>
      </c>
      <c r="B97" s="734">
        <v>1322725900</v>
      </c>
      <c r="C97" s="266" t="s">
        <v>1177</v>
      </c>
      <c r="D97" s="263">
        <v>575</v>
      </c>
      <c r="E97" s="264">
        <v>2400</v>
      </c>
      <c r="F97" s="583"/>
      <c r="G97" s="264"/>
      <c r="H97" s="263"/>
      <c r="I97" s="264"/>
      <c r="J97" s="262"/>
      <c r="K97" s="262"/>
      <c r="L97" s="262"/>
    </row>
    <row r="98" spans="1:36" s="199" customFormat="1" x14ac:dyDescent="0.25">
      <c r="A98" s="698" t="s">
        <v>434</v>
      </c>
      <c r="B98" s="710"/>
      <c r="C98" s="249"/>
      <c r="D98" s="250"/>
      <c r="E98" s="251"/>
      <c r="F98" s="543"/>
      <c r="G98" s="251"/>
      <c r="H98" s="250"/>
      <c r="I98" s="251"/>
      <c r="J98" s="249"/>
      <c r="K98" s="249"/>
      <c r="L98" s="249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359"/>
      <c r="AE98" s="359"/>
      <c r="AF98" s="359"/>
      <c r="AG98" s="359"/>
      <c r="AH98" s="359"/>
      <c r="AI98" s="359"/>
      <c r="AJ98" s="359"/>
    </row>
    <row r="99" spans="1:36" s="149" customFormat="1" x14ac:dyDescent="0.25">
      <c r="A99" s="699" t="s">
        <v>65</v>
      </c>
      <c r="B99" s="734" t="s">
        <v>163</v>
      </c>
      <c r="C99" s="262" t="s">
        <v>1177</v>
      </c>
      <c r="D99" s="263"/>
      <c r="E99" s="264"/>
      <c r="F99" s="583"/>
      <c r="G99" s="264"/>
      <c r="H99" s="263">
        <v>229.58</v>
      </c>
      <c r="I99" s="264">
        <v>329</v>
      </c>
      <c r="J99" s="262"/>
      <c r="K99" s="262"/>
      <c r="L99" s="262"/>
    </row>
    <row r="100" spans="1:36" s="149" customFormat="1" x14ac:dyDescent="0.25">
      <c r="A100" s="699" t="s">
        <v>37</v>
      </c>
      <c r="B100" s="734" t="s">
        <v>190</v>
      </c>
      <c r="C100" s="266" t="s">
        <v>1177</v>
      </c>
      <c r="D100" s="263"/>
      <c r="E100" s="264"/>
      <c r="F100" s="583"/>
      <c r="G100" s="264"/>
      <c r="H100" s="263">
        <v>245.84</v>
      </c>
      <c r="I100" s="264">
        <v>352</v>
      </c>
      <c r="J100" s="262"/>
      <c r="K100" s="262"/>
      <c r="L100" s="262"/>
    </row>
    <row r="101" spans="1:36" s="149" customFormat="1" x14ac:dyDescent="0.25">
      <c r="A101" s="699" t="s">
        <v>71</v>
      </c>
      <c r="B101" s="734" t="s">
        <v>188</v>
      </c>
      <c r="C101" s="262" t="s">
        <v>1177</v>
      </c>
      <c r="D101" s="263"/>
      <c r="E101" s="264"/>
      <c r="F101" s="583"/>
      <c r="G101" s="264"/>
      <c r="H101" s="263">
        <v>33.659999999999997</v>
      </c>
      <c r="I101" s="264">
        <v>13</v>
      </c>
      <c r="J101" s="262"/>
      <c r="K101" s="262"/>
      <c r="L101" s="262"/>
    </row>
    <row r="102" spans="1:36" s="149" customFormat="1" x14ac:dyDescent="0.25">
      <c r="A102" s="699" t="s">
        <v>72</v>
      </c>
      <c r="B102" s="734" t="s">
        <v>187</v>
      </c>
      <c r="C102" s="262" t="s">
        <v>1177</v>
      </c>
      <c r="D102" s="263"/>
      <c r="E102" s="264"/>
      <c r="F102" s="583"/>
      <c r="G102" s="264"/>
      <c r="H102" s="263">
        <v>43.27</v>
      </c>
      <c r="I102" s="264">
        <v>38</v>
      </c>
      <c r="J102" s="262"/>
      <c r="K102" s="262"/>
      <c r="L102" s="262"/>
    </row>
    <row r="103" spans="1:36" s="149" customFormat="1" x14ac:dyDescent="0.25">
      <c r="A103" s="699" t="s">
        <v>73</v>
      </c>
      <c r="B103" s="734" t="s">
        <v>171</v>
      </c>
      <c r="C103" s="262" t="s">
        <v>1177</v>
      </c>
      <c r="D103" s="263"/>
      <c r="E103" s="264"/>
      <c r="F103" s="583"/>
      <c r="G103" s="264"/>
      <c r="H103" s="263">
        <v>36.86</v>
      </c>
      <c r="I103" s="264">
        <v>26</v>
      </c>
      <c r="J103" s="262"/>
      <c r="K103" s="262"/>
      <c r="L103" s="262"/>
    </row>
    <row r="104" spans="1:36" s="149" customFormat="1" x14ac:dyDescent="0.25">
      <c r="A104" s="699" t="s">
        <v>74</v>
      </c>
      <c r="B104" s="734" t="s">
        <v>170</v>
      </c>
      <c r="C104" s="262" t="s">
        <v>1177</v>
      </c>
      <c r="D104" s="263"/>
      <c r="E104" s="264"/>
      <c r="F104" s="583"/>
      <c r="G104" s="264"/>
      <c r="H104" s="263">
        <v>33.659999999999997</v>
      </c>
      <c r="I104" s="264">
        <v>4</v>
      </c>
      <c r="J104" s="262"/>
      <c r="K104" s="262"/>
      <c r="L104" s="262"/>
    </row>
    <row r="105" spans="1:36" s="149" customFormat="1" x14ac:dyDescent="0.25">
      <c r="A105" s="699" t="s">
        <v>75</v>
      </c>
      <c r="B105" s="734" t="s">
        <v>189</v>
      </c>
      <c r="C105" s="262" t="s">
        <v>1177</v>
      </c>
      <c r="D105" s="263"/>
      <c r="E105" s="264"/>
      <c r="F105" s="583"/>
      <c r="G105" s="264"/>
      <c r="H105" s="263">
        <v>35.799999999999997</v>
      </c>
      <c r="I105" s="264">
        <v>24</v>
      </c>
      <c r="J105" s="262"/>
      <c r="K105" s="262"/>
      <c r="L105" s="262"/>
    </row>
    <row r="106" spans="1:36" s="149" customFormat="1" x14ac:dyDescent="0.25">
      <c r="A106" s="699" t="s">
        <v>76</v>
      </c>
      <c r="B106" s="734" t="s">
        <v>169</v>
      </c>
      <c r="C106" s="262" t="s">
        <v>1177</v>
      </c>
      <c r="D106" s="263"/>
      <c r="E106" s="264"/>
      <c r="F106" s="583"/>
      <c r="G106" s="264"/>
      <c r="H106" s="263">
        <v>33.659999999999997</v>
      </c>
      <c r="I106" s="264">
        <v>0</v>
      </c>
      <c r="J106" s="262"/>
      <c r="K106" s="262"/>
      <c r="L106" s="262"/>
    </row>
    <row r="107" spans="1:36" s="149" customFormat="1" x14ac:dyDescent="0.25">
      <c r="A107" s="699" t="s">
        <v>77</v>
      </c>
      <c r="B107" s="734" t="s">
        <v>168</v>
      </c>
      <c r="C107" s="262" t="s">
        <v>1177</v>
      </c>
      <c r="D107" s="263"/>
      <c r="E107" s="264"/>
      <c r="F107" s="583"/>
      <c r="G107" s="264"/>
      <c r="H107" s="263">
        <v>238.07</v>
      </c>
      <c r="I107" s="264">
        <v>341</v>
      </c>
      <c r="J107" s="262"/>
      <c r="K107" s="262"/>
      <c r="L107" s="262"/>
    </row>
    <row r="108" spans="1:36" s="149" customFormat="1" x14ac:dyDescent="0.25">
      <c r="A108" s="699" t="s">
        <v>78</v>
      </c>
      <c r="B108" s="734" t="s">
        <v>197</v>
      </c>
      <c r="C108" s="262" t="s">
        <v>1177</v>
      </c>
      <c r="D108" s="263"/>
      <c r="E108" s="264"/>
      <c r="F108" s="583"/>
      <c r="G108" s="264"/>
      <c r="H108" s="263">
        <v>33.659999999999997</v>
      </c>
      <c r="I108" s="264">
        <v>16</v>
      </c>
      <c r="J108" s="262"/>
      <c r="K108" s="262"/>
      <c r="L108" s="262"/>
    </row>
    <row r="109" spans="1:36" s="149" customFormat="1" x14ac:dyDescent="0.25">
      <c r="A109" s="699" t="s">
        <v>79</v>
      </c>
      <c r="B109" s="734" t="s">
        <v>167</v>
      </c>
      <c r="C109" s="266" t="s">
        <v>1177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36" s="149" customFormat="1" x14ac:dyDescent="0.25">
      <c r="A110" s="728" t="s">
        <v>80</v>
      </c>
      <c r="B110" s="740" t="s">
        <v>177</v>
      </c>
      <c r="C110" s="285" t="s">
        <v>1177</v>
      </c>
      <c r="D110" s="286"/>
      <c r="E110" s="287"/>
      <c r="F110" s="594"/>
      <c r="G110" s="287"/>
      <c r="H110" s="286">
        <v>33.659999999999997</v>
      </c>
      <c r="I110" s="287">
        <v>0</v>
      </c>
      <c r="J110" s="288"/>
      <c r="K110" s="262"/>
      <c r="L110" s="262"/>
    </row>
    <row r="111" spans="1:36" s="149" customFormat="1" x14ac:dyDescent="0.25">
      <c r="A111" s="699" t="s">
        <v>81</v>
      </c>
      <c r="B111" s="734" t="s">
        <v>180</v>
      </c>
      <c r="C111" s="262" t="s">
        <v>1177</v>
      </c>
      <c r="D111" s="263"/>
      <c r="E111" s="264"/>
      <c r="F111" s="583"/>
      <c r="G111" s="264"/>
      <c r="H111" s="263">
        <v>35.799999999999997</v>
      </c>
      <c r="I111" s="264">
        <v>24</v>
      </c>
      <c r="J111" s="262"/>
      <c r="K111" s="262"/>
      <c r="L111" s="262"/>
    </row>
    <row r="112" spans="1:36" s="149" customFormat="1" x14ac:dyDescent="0.25">
      <c r="A112" s="699" t="s">
        <v>82</v>
      </c>
      <c r="B112" s="734" t="s">
        <v>179</v>
      </c>
      <c r="C112" s="262" t="s">
        <v>1177</v>
      </c>
      <c r="D112" s="263"/>
      <c r="E112" s="264"/>
      <c r="F112" s="583"/>
      <c r="G112" s="264"/>
      <c r="H112" s="263">
        <v>91.96</v>
      </c>
      <c r="I112" s="264">
        <v>124</v>
      </c>
      <c r="J112" s="262"/>
      <c r="K112" s="262"/>
      <c r="L112" s="262"/>
    </row>
    <row r="113" spans="1:29" s="149" customFormat="1" x14ac:dyDescent="0.25">
      <c r="A113" s="699" t="s">
        <v>83</v>
      </c>
      <c r="B113" s="734" t="s">
        <v>178</v>
      </c>
      <c r="C113" s="262" t="s">
        <v>1177</v>
      </c>
      <c r="D113" s="263"/>
      <c r="E113" s="264"/>
      <c r="F113" s="583"/>
      <c r="G113" s="264"/>
      <c r="H113" s="263">
        <v>47.54</v>
      </c>
      <c r="I113" s="264">
        <v>46</v>
      </c>
      <c r="J113" s="262"/>
      <c r="K113" s="262"/>
      <c r="L113" s="262"/>
    </row>
    <row r="114" spans="1:29" s="149" customFormat="1" x14ac:dyDescent="0.25">
      <c r="A114" s="699" t="s">
        <v>84</v>
      </c>
      <c r="B114" s="734" t="s">
        <v>175</v>
      </c>
      <c r="C114" s="262" t="s">
        <v>1177</v>
      </c>
      <c r="D114" s="263"/>
      <c r="E114" s="264"/>
      <c r="F114" s="583"/>
      <c r="G114" s="264"/>
      <c r="H114" s="263">
        <v>33.659999999999997</v>
      </c>
      <c r="I114" s="264">
        <v>8</v>
      </c>
      <c r="J114" s="262"/>
      <c r="K114" s="262"/>
      <c r="L114" s="262"/>
    </row>
    <row r="115" spans="1:29" s="149" customFormat="1" x14ac:dyDescent="0.25">
      <c r="A115" s="699" t="s">
        <v>85</v>
      </c>
      <c r="B115" s="734" t="s">
        <v>184</v>
      </c>
      <c r="C115" s="262" t="s">
        <v>1177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29" s="149" customFormat="1" x14ac:dyDescent="0.25">
      <c r="A116" s="699" t="s">
        <v>86</v>
      </c>
      <c r="B116" s="734" t="s">
        <v>185</v>
      </c>
      <c r="C116" s="262" t="s">
        <v>1177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29" s="149" customFormat="1" x14ac:dyDescent="0.25">
      <c r="A117" s="699" t="s">
        <v>87</v>
      </c>
      <c r="B117" s="734" t="s">
        <v>181</v>
      </c>
      <c r="C117" s="262" t="s">
        <v>1177</v>
      </c>
      <c r="D117" s="263"/>
      <c r="E117" s="264"/>
      <c r="F117" s="583"/>
      <c r="G117" s="264"/>
      <c r="H117" s="263">
        <v>41.14</v>
      </c>
      <c r="I117" s="264">
        <v>34</v>
      </c>
      <c r="J117" s="262"/>
      <c r="K117" s="262"/>
      <c r="L117" s="262"/>
    </row>
    <row r="118" spans="1:29" s="149" customFormat="1" x14ac:dyDescent="0.25">
      <c r="A118" s="699" t="s">
        <v>88</v>
      </c>
      <c r="B118" s="734" t="s">
        <v>172</v>
      </c>
      <c r="C118" s="262" t="s">
        <v>1177</v>
      </c>
      <c r="D118" s="263"/>
      <c r="E118" s="264"/>
      <c r="F118" s="583"/>
      <c r="G118" s="264"/>
      <c r="H118" s="263">
        <v>965.99</v>
      </c>
      <c r="I118" s="264">
        <v>1297</v>
      </c>
      <c r="J118" s="262"/>
      <c r="K118" s="262"/>
      <c r="L118" s="262"/>
    </row>
    <row r="119" spans="1:29" s="149" customFormat="1" x14ac:dyDescent="0.25">
      <c r="A119" s="699" t="s">
        <v>89</v>
      </c>
      <c r="B119" s="734" t="s">
        <v>173</v>
      </c>
      <c r="C119" s="262" t="s">
        <v>1177</v>
      </c>
      <c r="D119" s="263"/>
      <c r="E119" s="264"/>
      <c r="F119" s="583"/>
      <c r="G119" s="264"/>
      <c r="H119" s="263">
        <v>203.42</v>
      </c>
      <c r="I119" s="264">
        <v>292</v>
      </c>
      <c r="J119" s="262"/>
      <c r="K119" s="262"/>
      <c r="L119" s="262"/>
    </row>
    <row r="120" spans="1:29" s="149" customFormat="1" x14ac:dyDescent="0.25">
      <c r="A120" s="699" t="s">
        <v>90</v>
      </c>
      <c r="B120" s="734" t="s">
        <v>174</v>
      </c>
      <c r="C120" s="262" t="s">
        <v>1177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29" s="149" customFormat="1" x14ac:dyDescent="0.25">
      <c r="A121" s="699" t="s">
        <v>91</v>
      </c>
      <c r="B121" s="734" t="s">
        <v>182</v>
      </c>
      <c r="C121" s="262" t="s">
        <v>1177</v>
      </c>
      <c r="D121" s="263"/>
      <c r="E121" s="264"/>
      <c r="F121" s="583"/>
      <c r="G121" s="264"/>
      <c r="H121" s="263">
        <v>33.659999999999997</v>
      </c>
      <c r="I121" s="264">
        <v>20</v>
      </c>
      <c r="J121" s="262"/>
      <c r="K121" s="262"/>
      <c r="L121" s="262"/>
    </row>
    <row r="122" spans="1:29" s="149" customFormat="1" x14ac:dyDescent="0.25">
      <c r="A122" s="699" t="s">
        <v>92</v>
      </c>
      <c r="B122" s="734" t="s">
        <v>186</v>
      </c>
      <c r="C122" s="262" t="s">
        <v>1177</v>
      </c>
      <c r="D122" s="263"/>
      <c r="E122" s="264"/>
      <c r="F122" s="583"/>
      <c r="G122" s="264"/>
      <c r="H122" s="263">
        <v>33.659999999999997</v>
      </c>
      <c r="I122" s="264">
        <v>5</v>
      </c>
      <c r="J122" s="262"/>
      <c r="K122" s="262"/>
      <c r="L122" s="262"/>
    </row>
    <row r="123" spans="1:29" s="149" customFormat="1" x14ac:dyDescent="0.25">
      <c r="A123" s="699" t="s">
        <v>93</v>
      </c>
      <c r="B123" s="734" t="s">
        <v>183</v>
      </c>
      <c r="C123" s="262" t="s">
        <v>1177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29" s="149" customFormat="1" x14ac:dyDescent="0.25">
      <c r="A124" s="699" t="s">
        <v>103</v>
      </c>
      <c r="B124" s="734" t="s">
        <v>194</v>
      </c>
      <c r="C124" s="262" t="s">
        <v>1177</v>
      </c>
      <c r="D124" s="263"/>
      <c r="E124" s="264"/>
      <c r="F124" s="583"/>
      <c r="G124" s="264"/>
      <c r="H124" s="263">
        <v>33.659999999999997</v>
      </c>
      <c r="I124" s="264">
        <v>3</v>
      </c>
      <c r="J124" s="262"/>
      <c r="K124" s="262"/>
      <c r="L124" s="262"/>
    </row>
    <row r="125" spans="1:29" s="149" customFormat="1" ht="26.25" x14ac:dyDescent="0.25">
      <c r="A125" s="699" t="s">
        <v>983</v>
      </c>
      <c r="B125" s="734" t="s">
        <v>981</v>
      </c>
      <c r="C125" s="262" t="s">
        <v>1177</v>
      </c>
      <c r="D125" s="263"/>
      <c r="E125" s="264"/>
      <c r="F125" s="583"/>
      <c r="G125" s="264"/>
      <c r="H125" s="263">
        <v>121.16</v>
      </c>
      <c r="I125" s="264">
        <v>169</v>
      </c>
      <c r="J125" s="262"/>
      <c r="K125" s="262"/>
      <c r="L125" s="262"/>
    </row>
    <row r="126" spans="1:29" s="149" customFormat="1" x14ac:dyDescent="0.25">
      <c r="A126" s="699" t="s">
        <v>980</v>
      </c>
      <c r="B126" s="734" t="s">
        <v>196</v>
      </c>
      <c r="C126" s="262" t="s">
        <v>1177</v>
      </c>
      <c r="D126" s="263"/>
      <c r="E126" s="264"/>
      <c r="F126" s="583"/>
      <c r="G126" s="264"/>
      <c r="H126" s="263">
        <v>50.49</v>
      </c>
      <c r="I126" s="264">
        <v>6</v>
      </c>
      <c r="J126" s="262"/>
      <c r="K126" s="262"/>
      <c r="L126" s="262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</row>
    <row r="127" spans="1:29" s="149" customFormat="1" x14ac:dyDescent="0.25">
      <c r="A127" s="699" t="s">
        <v>1076</v>
      </c>
      <c r="B127" s="734" t="s">
        <v>166</v>
      </c>
      <c r="C127" s="262" t="s">
        <v>1177</v>
      </c>
      <c r="D127" s="263"/>
      <c r="E127" s="264"/>
      <c r="F127" s="583"/>
      <c r="G127" s="264"/>
      <c r="H127" s="263">
        <v>36.33</v>
      </c>
      <c r="I127" s="264">
        <v>25</v>
      </c>
      <c r="J127" s="262"/>
      <c r="K127" s="262"/>
      <c r="L127" s="262"/>
    </row>
    <row r="128" spans="1:29" s="149" customFormat="1" x14ac:dyDescent="0.25">
      <c r="A128" s="699" t="s">
        <v>1077</v>
      </c>
      <c r="B128" s="734" t="s">
        <v>193</v>
      </c>
      <c r="C128" s="262" t="s">
        <v>1177</v>
      </c>
      <c r="D128" s="263"/>
      <c r="E128" s="264"/>
      <c r="F128" s="583"/>
      <c r="G128" s="264"/>
      <c r="H128" s="263">
        <v>33.659999999999997</v>
      </c>
      <c r="I128" s="264">
        <v>12</v>
      </c>
      <c r="J128" s="262"/>
      <c r="K128" s="262"/>
      <c r="L128" s="262"/>
    </row>
    <row r="129" spans="1:36" s="149" customFormat="1" x14ac:dyDescent="0.25">
      <c r="A129" s="699" t="s">
        <v>1075</v>
      </c>
      <c r="B129" s="734" t="s">
        <v>192</v>
      </c>
      <c r="C129" s="262" t="s">
        <v>1177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2"/>
      <c r="L129" s="262"/>
    </row>
    <row r="130" spans="1:36" s="149" customFormat="1" x14ac:dyDescent="0.25">
      <c r="A130" s="699" t="s">
        <v>1066</v>
      </c>
      <c r="B130" s="734" t="s">
        <v>139</v>
      </c>
      <c r="C130" s="262" t="s">
        <v>1186</v>
      </c>
      <c r="D130" s="263"/>
      <c r="E130" s="264"/>
      <c r="F130" s="583"/>
      <c r="G130" s="264"/>
      <c r="H130" s="263">
        <v>43.27</v>
      </c>
      <c r="I130" s="264">
        <v>38</v>
      </c>
      <c r="J130" s="262"/>
      <c r="K130" s="262"/>
      <c r="L130" s="262"/>
    </row>
    <row r="131" spans="1:36" s="149" customFormat="1" x14ac:dyDescent="0.25">
      <c r="A131" s="699" t="s">
        <v>64</v>
      </c>
      <c r="B131" s="734" t="s">
        <v>191</v>
      </c>
      <c r="C131" s="266" t="s">
        <v>1177</v>
      </c>
      <c r="D131" s="263"/>
      <c r="E131" s="264"/>
      <c r="F131" s="583"/>
      <c r="G131" s="264"/>
      <c r="H131" s="263">
        <v>163.35</v>
      </c>
      <c r="I131" s="264">
        <v>234</v>
      </c>
      <c r="J131" s="262"/>
      <c r="K131" s="262"/>
      <c r="L131" s="262"/>
    </row>
    <row r="132" spans="1:36" s="149" customFormat="1" x14ac:dyDescent="0.25">
      <c r="A132" s="699" t="s">
        <v>1093</v>
      </c>
      <c r="B132" s="734" t="s">
        <v>131</v>
      </c>
      <c r="C132" s="262" t="s">
        <v>1186</v>
      </c>
      <c r="D132" s="263"/>
      <c r="E132" s="264"/>
      <c r="F132" s="583"/>
      <c r="G132" s="264"/>
      <c r="H132" s="263">
        <v>2362.11</v>
      </c>
      <c r="I132" s="264">
        <v>3122</v>
      </c>
      <c r="J132" s="262"/>
      <c r="K132" s="262"/>
      <c r="L132" s="262"/>
    </row>
    <row r="133" spans="1:36" s="149" customFormat="1" x14ac:dyDescent="0.25">
      <c r="A133" s="699" t="s">
        <v>1092</v>
      </c>
      <c r="B133" s="734" t="s">
        <v>133</v>
      </c>
      <c r="C133" s="262" t="s">
        <v>1186</v>
      </c>
      <c r="D133" s="263"/>
      <c r="E133" s="264"/>
      <c r="F133" s="583"/>
      <c r="G133" s="264"/>
      <c r="H133" s="263">
        <v>33.659999999999997</v>
      </c>
      <c r="I133" s="264">
        <v>9</v>
      </c>
      <c r="J133" s="262"/>
      <c r="K133" s="262"/>
      <c r="L133" s="262"/>
    </row>
    <row r="134" spans="1:36" s="149" customFormat="1" x14ac:dyDescent="0.25">
      <c r="A134" s="700" t="s">
        <v>309</v>
      </c>
      <c r="B134" s="734" t="s">
        <v>135</v>
      </c>
      <c r="C134" s="262" t="s">
        <v>1186</v>
      </c>
      <c r="D134" s="263"/>
      <c r="E134" s="264"/>
      <c r="F134" s="583"/>
      <c r="G134" s="264"/>
      <c r="H134" s="263">
        <v>1699.62</v>
      </c>
      <c r="I134" s="264">
        <v>2256</v>
      </c>
      <c r="J134" s="262"/>
      <c r="K134" s="262"/>
      <c r="L134" s="262"/>
    </row>
    <row r="135" spans="1:36" s="149" customFormat="1" x14ac:dyDescent="0.25">
      <c r="A135" s="700" t="s">
        <v>1091</v>
      </c>
      <c r="B135" s="734" t="s">
        <v>138</v>
      </c>
      <c r="C135" s="262" t="s">
        <v>1186</v>
      </c>
      <c r="D135" s="263"/>
      <c r="E135" s="264"/>
      <c r="F135" s="583"/>
      <c r="G135" s="264"/>
      <c r="H135" s="263">
        <v>33.659999999999997</v>
      </c>
      <c r="I135" s="264">
        <v>2</v>
      </c>
      <c r="J135" s="262"/>
      <c r="K135" s="262"/>
      <c r="L135" s="262"/>
    </row>
    <row r="136" spans="1:36" s="149" customFormat="1" x14ac:dyDescent="0.25">
      <c r="A136" s="699" t="s">
        <v>1090</v>
      </c>
      <c r="B136" s="734" t="s">
        <v>141</v>
      </c>
      <c r="C136" s="262" t="s">
        <v>1186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2"/>
      <c r="L136" s="262"/>
    </row>
    <row r="137" spans="1:36" s="149" customFormat="1" x14ac:dyDescent="0.25">
      <c r="A137" s="699" t="s">
        <v>1089</v>
      </c>
      <c r="B137" s="734" t="s">
        <v>143</v>
      </c>
      <c r="C137" s="266" t="s">
        <v>1186</v>
      </c>
      <c r="D137" s="263"/>
      <c r="E137" s="264"/>
      <c r="F137" s="583"/>
      <c r="G137" s="264"/>
      <c r="H137" s="263">
        <v>39</v>
      </c>
      <c r="I137" s="264">
        <v>30</v>
      </c>
      <c r="J137" s="262"/>
      <c r="K137" s="262"/>
      <c r="L137" s="262"/>
    </row>
    <row r="138" spans="1:36" s="149" customFormat="1" x14ac:dyDescent="0.25">
      <c r="A138" s="699" t="s">
        <v>1088</v>
      </c>
      <c r="B138" s="734" t="s">
        <v>145</v>
      </c>
      <c r="C138" s="262" t="s">
        <v>1186</v>
      </c>
      <c r="D138" s="263"/>
      <c r="E138" s="264"/>
      <c r="F138" s="583"/>
      <c r="G138" s="264"/>
      <c r="H138" s="263">
        <v>358.58</v>
      </c>
      <c r="I138" s="264">
        <v>503</v>
      </c>
      <c r="J138" s="262"/>
      <c r="K138" s="262"/>
      <c r="L138" s="262"/>
    </row>
    <row r="139" spans="1:36" s="149" customFormat="1" x14ac:dyDescent="0.25">
      <c r="A139" s="699" t="s">
        <v>1086</v>
      </c>
      <c r="B139" s="734" t="s">
        <v>147</v>
      </c>
      <c r="C139" s="262" t="s">
        <v>1186</v>
      </c>
      <c r="D139" s="263"/>
      <c r="E139" s="264"/>
      <c r="F139" s="583"/>
      <c r="G139" s="264"/>
      <c r="H139" s="263">
        <v>287.43</v>
      </c>
      <c r="I139" s="264">
        <v>410</v>
      </c>
      <c r="J139" s="262"/>
      <c r="K139" s="262"/>
      <c r="L139" s="262"/>
    </row>
    <row r="140" spans="1:36" s="149" customFormat="1" x14ac:dyDescent="0.25">
      <c r="A140" s="695" t="s">
        <v>176</v>
      </c>
      <c r="B140" s="711" t="s">
        <v>165</v>
      </c>
      <c r="C140" s="245"/>
      <c r="D140" s="269"/>
      <c r="E140" s="270"/>
      <c r="F140" s="544"/>
      <c r="G140" s="270"/>
      <c r="H140" s="269"/>
      <c r="I140" s="270"/>
      <c r="J140" s="245"/>
      <c r="K140" s="245"/>
      <c r="L140" s="245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359"/>
      <c r="AE140" s="359"/>
      <c r="AF140" s="359"/>
      <c r="AG140" s="359"/>
      <c r="AH140" s="359"/>
      <c r="AI140" s="359"/>
      <c r="AJ140" s="359"/>
    </row>
    <row r="141" spans="1:36" s="199" customFormat="1" x14ac:dyDescent="0.25">
      <c r="A141" s="698" t="s">
        <v>433</v>
      </c>
      <c r="B141" s="712"/>
      <c r="C141" s="249"/>
      <c r="D141" s="250"/>
      <c r="E141" s="251"/>
      <c r="F141" s="543"/>
      <c r="G141" s="251"/>
      <c r="H141" s="250"/>
      <c r="I141" s="251"/>
      <c r="J141" s="249"/>
      <c r="K141" s="249"/>
      <c r="L141" s="249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359"/>
      <c r="AE141" s="359"/>
      <c r="AF141" s="359"/>
      <c r="AG141" s="359"/>
      <c r="AH141" s="359"/>
      <c r="AI141" s="359"/>
      <c r="AJ141" s="359"/>
    </row>
    <row r="142" spans="1:36" s="149" customFormat="1" x14ac:dyDescent="0.25">
      <c r="A142" s="699" t="s">
        <v>107</v>
      </c>
      <c r="B142" s="734">
        <v>67</v>
      </c>
      <c r="C142" s="266" t="s">
        <v>1177</v>
      </c>
      <c r="D142" s="263"/>
      <c r="E142" s="264"/>
      <c r="F142" s="583"/>
      <c r="G142" s="264"/>
      <c r="H142" s="263">
        <v>50</v>
      </c>
      <c r="I142" s="264">
        <v>0</v>
      </c>
      <c r="J142" s="262"/>
      <c r="K142" s="262"/>
      <c r="L142" s="262"/>
    </row>
    <row r="143" spans="1:36" s="149" customFormat="1" x14ac:dyDescent="0.25">
      <c r="A143" s="699" t="s">
        <v>109</v>
      </c>
      <c r="B143" s="741">
        <v>95</v>
      </c>
      <c r="C143" s="262" t="s">
        <v>1177</v>
      </c>
      <c r="D143" s="263"/>
      <c r="E143" s="264"/>
      <c r="F143" s="583"/>
      <c r="G143" s="264"/>
      <c r="H143" s="263">
        <v>62.5</v>
      </c>
      <c r="I143" s="264">
        <v>10</v>
      </c>
      <c r="J143" s="262"/>
      <c r="K143" s="262"/>
      <c r="L143" s="262"/>
    </row>
    <row r="144" spans="1:36" s="199" customFormat="1" x14ac:dyDescent="0.25">
      <c r="A144" s="694" t="s">
        <v>432</v>
      </c>
      <c r="B144" s="713"/>
      <c r="C144" s="249"/>
      <c r="D144" s="250"/>
      <c r="E144" s="251"/>
      <c r="F144" s="543"/>
      <c r="G144" s="251"/>
      <c r="H144" s="250"/>
      <c r="I144" s="251"/>
      <c r="J144" s="249"/>
      <c r="K144" s="249"/>
      <c r="L144" s="249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359"/>
      <c r="AE144" s="359"/>
      <c r="AF144" s="359"/>
      <c r="AG144" s="359"/>
      <c r="AH144" s="359"/>
      <c r="AI144" s="359"/>
      <c r="AJ144" s="359"/>
    </row>
    <row r="145" spans="1:36" s="149" customFormat="1" x14ac:dyDescent="0.25">
      <c r="A145" s="699" t="s">
        <v>1137</v>
      </c>
      <c r="B145" s="736">
        <v>61</v>
      </c>
      <c r="C145" s="266">
        <v>43262</v>
      </c>
      <c r="D145" s="263"/>
      <c r="E145" s="264"/>
      <c r="F145" s="583"/>
      <c r="G145" s="264"/>
      <c r="H145" s="263">
        <v>35.18</v>
      </c>
      <c r="I145" s="264">
        <v>200</v>
      </c>
      <c r="J145" s="262"/>
      <c r="K145" s="262"/>
      <c r="L145" s="262"/>
    </row>
    <row r="146" spans="1:36" s="199" customFormat="1" x14ac:dyDescent="0.25">
      <c r="A146" s="698" t="s">
        <v>431</v>
      </c>
      <c r="B146" s="712"/>
      <c r="C146" s="249"/>
      <c r="D146" s="250"/>
      <c r="E146" s="251"/>
      <c r="F146" s="543"/>
      <c r="G146" s="251"/>
      <c r="H146" s="250"/>
      <c r="I146" s="251"/>
      <c r="J146" s="249"/>
      <c r="K146" s="249"/>
      <c r="L146" s="249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359"/>
      <c r="AE146" s="359"/>
      <c r="AF146" s="359"/>
      <c r="AG146" s="359"/>
      <c r="AH146" s="359"/>
      <c r="AI146" s="359"/>
      <c r="AJ146" s="359"/>
    </row>
    <row r="147" spans="1:36" s="149" customFormat="1" ht="26.25" x14ac:dyDescent="0.25">
      <c r="A147" s="699" t="s">
        <v>40</v>
      </c>
      <c r="B147" s="736">
        <v>95</v>
      </c>
      <c r="C147" s="266" t="s">
        <v>1161</v>
      </c>
      <c r="D147" s="263"/>
      <c r="E147" s="264"/>
      <c r="F147" s="583"/>
      <c r="G147" s="264"/>
      <c r="H147" s="263">
        <v>20</v>
      </c>
      <c r="I147" s="264">
        <v>500</v>
      </c>
      <c r="J147" s="262"/>
      <c r="K147" s="262"/>
      <c r="L147" s="262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</row>
    <row r="148" spans="1:36" s="199" customFormat="1" ht="26.25" x14ac:dyDescent="0.25">
      <c r="A148" s="698" t="s">
        <v>430</v>
      </c>
      <c r="B148" s="712" t="s">
        <v>356</v>
      </c>
      <c r="C148" s="303"/>
      <c r="D148" s="250"/>
      <c r="E148" s="251"/>
      <c r="F148" s="543"/>
      <c r="G148" s="251"/>
      <c r="H148" s="250"/>
      <c r="I148" s="251"/>
      <c r="J148" s="249"/>
      <c r="K148" s="249"/>
      <c r="L148" s="249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359"/>
      <c r="AE148" s="359"/>
      <c r="AF148" s="359"/>
      <c r="AG148" s="359"/>
      <c r="AH148" s="359"/>
      <c r="AI148" s="359"/>
      <c r="AJ148" s="359"/>
    </row>
    <row r="149" spans="1:36" s="149" customFormat="1" x14ac:dyDescent="0.25">
      <c r="A149" s="699" t="s">
        <v>355</v>
      </c>
      <c r="B149" s="745"/>
      <c r="C149" s="266" t="s">
        <v>1171</v>
      </c>
      <c r="D149" s="263"/>
      <c r="E149" s="264"/>
      <c r="F149" s="583"/>
      <c r="G149" s="264"/>
      <c r="H149" s="263">
        <v>97.69</v>
      </c>
      <c r="I149" s="264">
        <v>165430</v>
      </c>
      <c r="J149" s="262"/>
      <c r="K149" s="262"/>
      <c r="L149" s="262"/>
    </row>
    <row r="150" spans="1:36" s="359" customFormat="1" ht="46.5" customHeight="1" x14ac:dyDescent="0.25">
      <c r="A150" s="715"/>
      <c r="B150" s="716"/>
      <c r="C150" s="355"/>
      <c r="D150" s="356"/>
      <c r="E150" s="357"/>
      <c r="F150" s="717"/>
      <c r="G150" s="357"/>
      <c r="H150" s="356"/>
      <c r="I150" s="357"/>
      <c r="J150" s="718"/>
      <c r="K150" s="355"/>
      <c r="L150" s="355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</row>
    <row r="151" spans="1:36" s="184" customFormat="1" x14ac:dyDescent="0.25">
      <c r="A151" s="692"/>
      <c r="B151" s="714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714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714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714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714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714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714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714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714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714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714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714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714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714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714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714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714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714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714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714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714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714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714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714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714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714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714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714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714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714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714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714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714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714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714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714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714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714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714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714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714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714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714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714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714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714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714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714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714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714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714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714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714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714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714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714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714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714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714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714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714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714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714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714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714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714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714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714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714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714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714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714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714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714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714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714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714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714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714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714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714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714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714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714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714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714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714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714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714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714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714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714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714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714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714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714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714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714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714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714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714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714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714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714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714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714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714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0" sqref="C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1184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42"/>
      <c r="B4" s="743"/>
      <c r="C4" s="743"/>
      <c r="D4" s="743"/>
      <c r="E4" s="743"/>
      <c r="F4" s="743"/>
      <c r="G4" s="74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220001.64</v>
      </c>
      <c r="D13" s="34"/>
      <c r="E13" s="35" t="s">
        <v>33</v>
      </c>
      <c r="F13" s="34"/>
      <c r="G13" s="42">
        <v>31669.14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3693</v>
      </c>
      <c r="D15" s="34"/>
      <c r="E15" s="35" t="s">
        <v>10</v>
      </c>
      <c r="F15" s="34"/>
      <c r="G15" s="42">
        <v>3001.41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17619</v>
      </c>
      <c r="D17" s="34"/>
      <c r="E17" s="35" t="s">
        <v>278</v>
      </c>
      <c r="F17" s="34"/>
      <c r="G17" s="42">
        <v>8074.8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5" activePane="bottomLeft" state="frozen"/>
      <selection pane="bottomLeft" activeCell="K26" sqref="K26"/>
    </sheetView>
  </sheetViews>
  <sheetFormatPr defaultRowHeight="15" x14ac:dyDescent="0.25"/>
  <cols>
    <col min="1" max="1" width="35.28515625" style="692" customWidth="1"/>
    <col min="2" max="2" width="13.42578125" style="714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7.7109375" style="245" customWidth="1"/>
    <col min="11" max="11" width="19.570312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705" t="s">
        <v>122</v>
      </c>
      <c r="C1" s="701" t="s">
        <v>1138</v>
      </c>
      <c r="D1" s="702" t="s">
        <v>1048</v>
      </c>
      <c r="E1" s="703" t="s">
        <v>1008</v>
      </c>
      <c r="F1" s="704" t="s">
        <v>1046</v>
      </c>
      <c r="G1" s="703" t="s">
        <v>1008</v>
      </c>
      <c r="H1" s="702" t="s">
        <v>1047</v>
      </c>
      <c r="I1" s="703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706"/>
      <c r="C2" s="249"/>
      <c r="D2" s="250"/>
      <c r="E2" s="251"/>
      <c r="F2" s="543"/>
      <c r="G2" s="251"/>
      <c r="H2" s="250"/>
      <c r="I2" s="251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35">
        <v>3038136345</v>
      </c>
      <c r="C3" s="256" t="s">
        <v>1159</v>
      </c>
      <c r="D3" s="257"/>
      <c r="E3" s="258"/>
      <c r="F3" s="586">
        <v>1811.29</v>
      </c>
      <c r="G3" s="258">
        <v>2822</v>
      </c>
      <c r="H3" s="257"/>
      <c r="I3" s="258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734">
        <v>3026210376</v>
      </c>
      <c r="C4" s="262" t="s">
        <v>1160</v>
      </c>
      <c r="D4" s="263"/>
      <c r="E4" s="264"/>
      <c r="F4" s="583">
        <v>81.96</v>
      </c>
      <c r="G4" s="264">
        <v>59</v>
      </c>
      <c r="H4" s="263"/>
      <c r="I4" s="264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35">
        <v>3039472917</v>
      </c>
      <c r="C5" s="256" t="s">
        <v>1159</v>
      </c>
      <c r="D5" s="257"/>
      <c r="E5" s="258"/>
      <c r="F5" s="586">
        <v>85.61</v>
      </c>
      <c r="G5" s="258">
        <v>64</v>
      </c>
      <c r="H5" s="257"/>
      <c r="I5" s="258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734">
        <v>4005211270</v>
      </c>
      <c r="C6" s="262" t="s">
        <v>1161</v>
      </c>
      <c r="D6" s="263"/>
      <c r="E6" s="264"/>
      <c r="F6" s="583">
        <v>121.73</v>
      </c>
      <c r="G6" s="264">
        <v>124</v>
      </c>
      <c r="H6" s="263"/>
      <c r="I6" s="264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734">
        <v>3044004323</v>
      </c>
      <c r="C7" s="262" t="s">
        <v>1159</v>
      </c>
      <c r="D7" s="263"/>
      <c r="E7" s="264"/>
      <c r="F7" s="583">
        <v>81.760000000000005</v>
      </c>
      <c r="G7" s="264">
        <v>45</v>
      </c>
      <c r="H7" s="263"/>
      <c r="I7" s="264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734">
        <v>3029257704</v>
      </c>
      <c r="C8" s="262" t="s">
        <v>1159</v>
      </c>
      <c r="D8" s="263"/>
      <c r="E8" s="264"/>
      <c r="F8" s="583">
        <v>70.33</v>
      </c>
      <c r="G8" s="264">
        <v>25</v>
      </c>
      <c r="H8" s="263"/>
      <c r="I8" s="264"/>
      <c r="J8" s="262" t="s">
        <v>10</v>
      </c>
      <c r="K8" s="262"/>
      <c r="L8" s="262"/>
    </row>
    <row r="9" spans="1:36" s="184" customFormat="1" x14ac:dyDescent="0.25">
      <c r="A9" s="695" t="s">
        <v>44</v>
      </c>
      <c r="B9" s="707">
        <v>3039640691</v>
      </c>
      <c r="C9" s="245" t="s">
        <v>1176</v>
      </c>
      <c r="D9" s="269"/>
      <c r="E9" s="270"/>
      <c r="F9" s="544">
        <v>104.65</v>
      </c>
      <c r="G9" s="270">
        <v>96</v>
      </c>
      <c r="H9" s="269"/>
      <c r="I9" s="270"/>
      <c r="J9" s="245" t="s">
        <v>10</v>
      </c>
      <c r="K9" s="245"/>
      <c r="L9" s="245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</row>
    <row r="10" spans="1:36" s="149" customFormat="1" x14ac:dyDescent="0.25">
      <c r="A10" s="699" t="s">
        <v>43</v>
      </c>
      <c r="B10" s="734">
        <v>3039782225</v>
      </c>
      <c r="C10" s="266" t="s">
        <v>1160</v>
      </c>
      <c r="D10" s="263"/>
      <c r="E10" s="264"/>
      <c r="F10" s="583">
        <v>127.5</v>
      </c>
      <c r="G10" s="264">
        <v>134</v>
      </c>
      <c r="H10" s="263"/>
      <c r="I10" s="264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734">
        <v>3039618715</v>
      </c>
      <c r="C11" s="271" t="s">
        <v>1158</v>
      </c>
      <c r="D11" s="263"/>
      <c r="E11" s="264"/>
      <c r="F11" s="583">
        <v>56.13</v>
      </c>
      <c r="G11" s="264">
        <v>0</v>
      </c>
      <c r="H11" s="263"/>
      <c r="I11" s="264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734">
        <v>3023189549</v>
      </c>
      <c r="C12" s="262" t="s">
        <v>1160</v>
      </c>
      <c r="D12" s="263"/>
      <c r="E12" s="264"/>
      <c r="F12" s="583">
        <v>45.41</v>
      </c>
      <c r="G12" s="264">
        <v>0</v>
      </c>
      <c r="H12" s="263"/>
      <c r="I12" s="264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734">
        <v>3034878837</v>
      </c>
      <c r="C13" s="262" t="s">
        <v>1160</v>
      </c>
      <c r="D13" s="263"/>
      <c r="E13" s="264"/>
      <c r="F13" s="583">
        <v>138.31</v>
      </c>
      <c r="G13" s="264">
        <v>150</v>
      </c>
      <c r="H13" s="263"/>
      <c r="I13" s="264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734">
        <v>3025670416</v>
      </c>
      <c r="C14" s="262" t="s">
        <v>1161</v>
      </c>
      <c r="D14" s="263"/>
      <c r="E14" s="264"/>
      <c r="F14" s="583">
        <v>60.18</v>
      </c>
      <c r="G14" s="264">
        <v>24</v>
      </c>
      <c r="H14" s="263"/>
      <c r="I14" s="264"/>
      <c r="J14" s="262" t="s">
        <v>10</v>
      </c>
      <c r="K14" s="262"/>
      <c r="L14" s="262"/>
    </row>
    <row r="15" spans="1:36" s="149" customFormat="1" x14ac:dyDescent="0.25">
      <c r="A15" s="699" t="s">
        <v>65</v>
      </c>
      <c r="B15" s="734">
        <v>3023110891</v>
      </c>
      <c r="C15" s="262" t="s">
        <v>1160</v>
      </c>
      <c r="D15" s="263"/>
      <c r="E15" s="264"/>
      <c r="F15" s="583">
        <v>83.19</v>
      </c>
      <c r="G15" s="264">
        <v>61</v>
      </c>
      <c r="H15" s="263"/>
      <c r="I15" s="264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734">
        <v>3022125574</v>
      </c>
      <c r="C16" s="262" t="s">
        <v>1162</v>
      </c>
      <c r="D16" s="263"/>
      <c r="E16" s="264"/>
      <c r="F16" s="583">
        <v>87.61</v>
      </c>
      <c r="G16" s="264">
        <v>87</v>
      </c>
      <c r="H16" s="263"/>
      <c r="I16" s="264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734">
        <v>3022125841</v>
      </c>
      <c r="C17" s="266" t="s">
        <v>1162</v>
      </c>
      <c r="D17" s="263"/>
      <c r="E17" s="264"/>
      <c r="F17" s="583">
        <v>45.75</v>
      </c>
      <c r="G17" s="264">
        <v>2</v>
      </c>
      <c r="H17" s="263"/>
      <c r="I17" s="264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708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733">
        <v>5217000077</v>
      </c>
      <c r="C19" s="563" t="s">
        <v>1168</v>
      </c>
      <c r="D19" s="572">
        <v>27.99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36" s="565" customFormat="1" ht="15.75" x14ac:dyDescent="0.25">
      <c r="A20" s="685" t="s">
        <v>831</v>
      </c>
      <c r="B20" s="733">
        <v>5216006440</v>
      </c>
      <c r="C20" s="563" t="s">
        <v>1168</v>
      </c>
      <c r="D20" s="572">
        <v>198.95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36" s="565" customFormat="1" ht="15.75" x14ac:dyDescent="0.25">
      <c r="A21" s="685" t="s">
        <v>830</v>
      </c>
      <c r="B21" s="733">
        <v>5216006441</v>
      </c>
      <c r="C21" s="609" t="s">
        <v>1168</v>
      </c>
      <c r="D21" s="572">
        <v>807.17</v>
      </c>
      <c r="E21" s="564">
        <v>4480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36" s="619" customFormat="1" ht="15.75" x14ac:dyDescent="0.25">
      <c r="A22" s="686" t="s">
        <v>855</v>
      </c>
      <c r="B22" s="709">
        <v>5216006442</v>
      </c>
      <c r="C22" s="546"/>
      <c r="D22" s="618"/>
      <c r="E22" s="547"/>
      <c r="F22" s="548"/>
      <c r="G22" s="547"/>
      <c r="H22" s="618"/>
      <c r="I22" s="547"/>
      <c r="J22" s="546"/>
      <c r="K22" s="546" t="s">
        <v>894</v>
      </c>
      <c r="L22" s="546">
        <v>5216006442</v>
      </c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</row>
    <row r="23" spans="1:36" s="565" customFormat="1" ht="15.75" x14ac:dyDescent="0.25">
      <c r="A23" s="685" t="s">
        <v>828</v>
      </c>
      <c r="B23" s="733">
        <v>5216006443</v>
      </c>
      <c r="C23" s="563" t="s">
        <v>1168</v>
      </c>
      <c r="D23" s="572">
        <v>16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36" s="565" customFormat="1" ht="14.25" customHeight="1" x14ac:dyDescent="0.25">
      <c r="A24" s="685" t="s">
        <v>873</v>
      </c>
      <c r="B24" s="733">
        <v>5216006444</v>
      </c>
      <c r="C24" s="563" t="s">
        <v>1166</v>
      </c>
      <c r="D24" s="572">
        <v>97</v>
      </c>
      <c r="E24" s="564">
        <v>1200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733">
        <v>5216006446</v>
      </c>
      <c r="C25" s="563" t="s">
        <v>1166</v>
      </c>
      <c r="D25" s="572">
        <v>4844.1499999999996</v>
      </c>
      <c r="E25" s="564">
        <v>77300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733">
        <v>5216006447</v>
      </c>
      <c r="C26" s="563" t="s">
        <v>1168</v>
      </c>
      <c r="D26" s="572">
        <v>321.22000000000003</v>
      </c>
      <c r="E26" s="564">
        <v>2571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733">
        <v>5216006448</v>
      </c>
      <c r="C27" s="563" t="s">
        <v>1166</v>
      </c>
      <c r="D27" s="572">
        <v>448.38</v>
      </c>
      <c r="E27" s="564">
        <v>900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733">
        <v>5216006449</v>
      </c>
      <c r="C28" s="563" t="s">
        <v>1169</v>
      </c>
      <c r="D28" s="572">
        <v>452.48</v>
      </c>
      <c r="E28" s="564">
        <v>4640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733">
        <v>5216006450</v>
      </c>
      <c r="C29" s="563" t="s">
        <v>1168</v>
      </c>
      <c r="D29" s="572">
        <v>882.32</v>
      </c>
      <c r="E29" s="564">
        <v>7080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733">
        <v>5216006451</v>
      </c>
      <c r="C30" s="563" t="s">
        <v>1169</v>
      </c>
      <c r="D30" s="572">
        <v>741.5</v>
      </c>
      <c r="E30" s="564">
        <v>9544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733">
        <v>5216006452</v>
      </c>
      <c r="C31" s="563" t="s">
        <v>1168</v>
      </c>
      <c r="D31" s="572">
        <v>1292.74</v>
      </c>
      <c r="E31" s="564">
        <v>13980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36" s="565" customFormat="1" ht="27.75" customHeight="1" x14ac:dyDescent="0.25">
      <c r="A32" s="685" t="s">
        <v>872</v>
      </c>
      <c r="B32" s="733">
        <v>5216006453</v>
      </c>
      <c r="C32" s="563" t="s">
        <v>1168</v>
      </c>
      <c r="D32" s="572">
        <v>13.83</v>
      </c>
      <c r="E32" s="564">
        <v>8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36" s="565" customFormat="1" ht="21" customHeight="1" x14ac:dyDescent="0.25">
      <c r="A33" s="685" t="s">
        <v>858</v>
      </c>
      <c r="B33" s="733">
        <v>5216006454</v>
      </c>
      <c r="C33" s="563" t="s">
        <v>1168</v>
      </c>
      <c r="D33" s="572">
        <v>22.74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36" s="565" customFormat="1" ht="21" customHeight="1" x14ac:dyDescent="0.25">
      <c r="A34" s="685" t="s">
        <v>1167</v>
      </c>
      <c r="B34" s="733">
        <v>5216006455</v>
      </c>
      <c r="C34" s="563" t="s">
        <v>1162</v>
      </c>
      <c r="D34" s="572">
        <v>21.79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36" s="565" customFormat="1" ht="21" customHeight="1" x14ac:dyDescent="0.25">
      <c r="A35" s="685" t="s">
        <v>870</v>
      </c>
      <c r="B35" s="733">
        <v>5216006456</v>
      </c>
      <c r="C35" s="563" t="s">
        <v>1170</v>
      </c>
      <c r="D35" s="572">
        <v>237.69</v>
      </c>
      <c r="E35" s="564">
        <v>1576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36" s="565" customFormat="1" ht="15.75" x14ac:dyDescent="0.25">
      <c r="A36" s="685" t="s">
        <v>851</v>
      </c>
      <c r="B36" s="733">
        <v>5216006457</v>
      </c>
      <c r="C36" s="563" t="s">
        <v>1170</v>
      </c>
      <c r="D36" s="572">
        <v>42.98</v>
      </c>
      <c r="E36" s="564">
        <v>60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36" s="565" customFormat="1" ht="15.75" x14ac:dyDescent="0.25">
      <c r="A37" s="685" t="s">
        <v>829</v>
      </c>
      <c r="B37" s="733">
        <v>5216006458</v>
      </c>
      <c r="C37" s="563" t="s">
        <v>1166</v>
      </c>
      <c r="D37" s="572">
        <v>346.92</v>
      </c>
      <c r="E37" s="564">
        <v>3466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36" s="565" customFormat="1" ht="15.75" x14ac:dyDescent="0.25">
      <c r="A38" s="685" t="s">
        <v>850</v>
      </c>
      <c r="B38" s="733">
        <v>5216006459</v>
      </c>
      <c r="C38" s="563" t="s">
        <v>1169</v>
      </c>
      <c r="D38" s="572">
        <v>48.44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36" s="565" customFormat="1" ht="15.75" x14ac:dyDescent="0.25">
      <c r="A39" s="685" t="s">
        <v>848</v>
      </c>
      <c r="B39" s="733">
        <v>5216006460</v>
      </c>
      <c r="C39" s="563" t="s">
        <v>1170</v>
      </c>
      <c r="D39" s="572">
        <v>23.42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36" s="565" customFormat="1" ht="15.75" x14ac:dyDescent="0.25">
      <c r="A40" s="685" t="s">
        <v>874</v>
      </c>
      <c r="B40" s="733">
        <v>5216006461</v>
      </c>
      <c r="C40" s="563" t="s">
        <v>1162</v>
      </c>
      <c r="D40" s="572">
        <v>75.349999999999994</v>
      </c>
      <c r="E40" s="564">
        <v>903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36" s="619" customFormat="1" ht="15.75" x14ac:dyDescent="0.25">
      <c r="A41" s="686" t="s">
        <v>847</v>
      </c>
      <c r="B41" s="709">
        <v>5216007172</v>
      </c>
      <c r="C41" s="546"/>
      <c r="D41" s="618"/>
      <c r="E41" s="547"/>
      <c r="F41" s="548"/>
      <c r="G41" s="547"/>
      <c r="H41" s="618"/>
      <c r="I41" s="547"/>
      <c r="J41" s="546"/>
      <c r="K41" s="546" t="s">
        <v>799</v>
      </c>
      <c r="L41" s="546">
        <v>5216006462</v>
      </c>
      <c r="M41" s="719"/>
      <c r="N41" s="719"/>
      <c r="O41" s="719"/>
      <c r="P41" s="719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</row>
    <row r="42" spans="1:36" s="565" customFormat="1" ht="15.75" x14ac:dyDescent="0.25">
      <c r="A42" s="685" t="s">
        <v>836</v>
      </c>
      <c r="B42" s="733">
        <v>5216006464</v>
      </c>
      <c r="C42" s="563" t="s">
        <v>1168</v>
      </c>
      <c r="D42" s="572">
        <v>16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36" s="565" customFormat="1" ht="15.75" x14ac:dyDescent="0.25">
      <c r="A43" s="685" t="s">
        <v>837</v>
      </c>
      <c r="B43" s="733">
        <v>5216006465</v>
      </c>
      <c r="C43" s="563" t="s">
        <v>1168</v>
      </c>
      <c r="D43" s="572">
        <v>19.18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36" s="565" customFormat="1" ht="15.75" x14ac:dyDescent="0.25">
      <c r="A44" s="685" t="s">
        <v>869</v>
      </c>
      <c r="B44" s="733">
        <v>5216006466</v>
      </c>
      <c r="C44" s="563" t="s">
        <v>1166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36" s="565" customFormat="1" ht="15.75" x14ac:dyDescent="0.25">
      <c r="A45" s="685" t="s">
        <v>868</v>
      </c>
      <c r="B45" s="733">
        <v>5216006467</v>
      </c>
      <c r="C45" s="563" t="s">
        <v>1170</v>
      </c>
      <c r="D45" s="572">
        <v>225.72</v>
      </c>
      <c r="E45" s="564">
        <v>1359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36" s="565" customFormat="1" ht="17.25" customHeight="1" x14ac:dyDescent="0.25">
      <c r="A46" s="685" t="s">
        <v>832</v>
      </c>
      <c r="B46" s="733">
        <v>5216006468</v>
      </c>
      <c r="C46" s="563" t="s">
        <v>1168</v>
      </c>
      <c r="D46" s="572">
        <v>342.13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36" s="565" customFormat="1" ht="15.75" x14ac:dyDescent="0.25">
      <c r="A47" s="685" t="s">
        <v>833</v>
      </c>
      <c r="B47" s="733">
        <v>5216006469</v>
      </c>
      <c r="C47" s="563" t="s">
        <v>1168</v>
      </c>
      <c r="D47" s="572">
        <v>253.38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36" s="565" customFormat="1" ht="15.75" x14ac:dyDescent="0.25">
      <c r="A48" s="685" t="s">
        <v>976</v>
      </c>
      <c r="B48" s="733">
        <v>5216006470</v>
      </c>
      <c r="C48" s="563" t="s">
        <v>1168</v>
      </c>
      <c r="D48" s="572">
        <v>1418.15</v>
      </c>
      <c r="E48" s="564">
        <v>14460</v>
      </c>
      <c r="F48" s="604"/>
      <c r="G48" s="564"/>
      <c r="H48" s="572"/>
      <c r="I48" s="564"/>
      <c r="J48" s="563"/>
      <c r="K48" s="563"/>
      <c r="L48" s="563"/>
    </row>
    <row r="49" spans="1:36" s="565" customFormat="1" ht="15.75" x14ac:dyDescent="0.25">
      <c r="A49" s="685" t="s">
        <v>852</v>
      </c>
      <c r="B49" s="733">
        <v>5216006471</v>
      </c>
      <c r="C49" s="563" t="s">
        <v>1168</v>
      </c>
      <c r="D49" s="572">
        <v>23.42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36" s="565" customFormat="1" ht="15.75" x14ac:dyDescent="0.25">
      <c r="A50" s="685" t="s">
        <v>867</v>
      </c>
      <c r="B50" s="733">
        <v>5216006472</v>
      </c>
      <c r="C50" s="563" t="s">
        <v>1169</v>
      </c>
      <c r="D50" s="572">
        <v>27.9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36" s="565" customFormat="1" ht="15.75" x14ac:dyDescent="0.25">
      <c r="A51" s="685" t="s">
        <v>840</v>
      </c>
      <c r="B51" s="733">
        <v>5216006473</v>
      </c>
      <c r="C51" s="563" t="s">
        <v>1162</v>
      </c>
      <c r="D51" s="572">
        <v>79.430000000000007</v>
      </c>
      <c r="E51" s="564">
        <v>844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36" s="565" customFormat="1" ht="15.75" x14ac:dyDescent="0.25">
      <c r="A52" s="685" t="s">
        <v>839</v>
      </c>
      <c r="B52" s="733">
        <v>5216006474</v>
      </c>
      <c r="C52" s="563" t="s">
        <v>1170</v>
      </c>
      <c r="D52" s="572">
        <v>79.53</v>
      </c>
      <c r="E52" s="564">
        <v>871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36" s="565" customFormat="1" ht="15.75" x14ac:dyDescent="0.25">
      <c r="A53" s="685" t="s">
        <v>841</v>
      </c>
      <c r="B53" s="733">
        <v>5216006475</v>
      </c>
      <c r="C53" s="563" t="s">
        <v>1168</v>
      </c>
      <c r="D53" s="572">
        <v>22.74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36" s="619" customFormat="1" ht="15.75" x14ac:dyDescent="0.25">
      <c r="A54" s="686" t="s">
        <v>846</v>
      </c>
      <c r="B54" s="709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</row>
    <row r="55" spans="1:36" s="565" customFormat="1" ht="15.75" x14ac:dyDescent="0.25">
      <c r="A55" s="685" t="s">
        <v>845</v>
      </c>
      <c r="B55" s="733">
        <v>5216006477</v>
      </c>
      <c r="C55" s="563" t="s">
        <v>1169</v>
      </c>
      <c r="D55" s="572">
        <v>47.36</v>
      </c>
      <c r="E55" s="564">
        <v>42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36" s="619" customFormat="1" ht="15.75" x14ac:dyDescent="0.25">
      <c r="A56" s="686" t="s">
        <v>866</v>
      </c>
      <c r="B56" s="709">
        <v>5216006478</v>
      </c>
      <c r="C56" s="546"/>
      <c r="D56" s="618"/>
      <c r="E56" s="547"/>
      <c r="F56" s="548"/>
      <c r="G56" s="547"/>
      <c r="H56" s="618"/>
      <c r="I56" s="547"/>
      <c r="J56" s="546"/>
      <c r="K56" s="546" t="s">
        <v>815</v>
      </c>
      <c r="L56" s="546">
        <v>5216006478</v>
      </c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</row>
    <row r="57" spans="1:36" s="619" customFormat="1" ht="15.75" x14ac:dyDescent="0.25">
      <c r="A57" s="686" t="s">
        <v>844</v>
      </c>
      <c r="B57" s="709">
        <v>5216006479</v>
      </c>
      <c r="C57" s="546"/>
      <c r="D57" s="618"/>
      <c r="E57" s="547"/>
      <c r="F57" s="548"/>
      <c r="G57" s="547"/>
      <c r="H57" s="618"/>
      <c r="I57" s="547"/>
      <c r="J57" s="546"/>
      <c r="K57" s="546" t="s">
        <v>816</v>
      </c>
      <c r="L57" s="546">
        <v>5216006479</v>
      </c>
      <c r="M57" s="719"/>
      <c r="N57" s="719"/>
      <c r="O57" s="719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</row>
    <row r="58" spans="1:36" s="565" customFormat="1" ht="15.75" x14ac:dyDescent="0.25">
      <c r="A58" s="685" t="s">
        <v>877</v>
      </c>
      <c r="B58" s="733">
        <v>5216006481</v>
      </c>
      <c r="C58" s="563" t="s">
        <v>1170</v>
      </c>
      <c r="D58" s="572">
        <v>737.14</v>
      </c>
      <c r="E58" s="564">
        <v>8280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36" s="565" customFormat="1" ht="15.75" x14ac:dyDescent="0.25">
      <c r="A59" s="685" t="s">
        <v>865</v>
      </c>
      <c r="B59" s="733">
        <v>5216006482</v>
      </c>
      <c r="C59" s="563" t="s">
        <v>1169</v>
      </c>
      <c r="D59" s="572">
        <v>198.89</v>
      </c>
      <c r="E59" s="564">
        <v>1507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36" s="565" customFormat="1" ht="15.75" x14ac:dyDescent="0.25">
      <c r="A60" s="685" t="s">
        <v>860</v>
      </c>
      <c r="B60" s="733">
        <v>5216006483</v>
      </c>
      <c r="C60" s="563" t="s">
        <v>1162</v>
      </c>
      <c r="D60" s="572">
        <v>23.34</v>
      </c>
      <c r="E60" s="564">
        <v>147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36" s="565" customFormat="1" ht="15.75" x14ac:dyDescent="0.25">
      <c r="A61" s="685" t="s">
        <v>864</v>
      </c>
      <c r="B61" s="733">
        <v>5216006484</v>
      </c>
      <c r="C61" s="563" t="s">
        <v>1170</v>
      </c>
      <c r="D61" s="572">
        <v>9367</v>
      </c>
      <c r="E61" s="564">
        <v>1057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36" s="565" customFormat="1" ht="15.75" x14ac:dyDescent="0.25">
      <c r="A62" s="685" t="s">
        <v>861</v>
      </c>
      <c r="B62" s="733">
        <v>5216006485</v>
      </c>
      <c r="C62" s="563" t="s">
        <v>1168</v>
      </c>
      <c r="D62" s="572">
        <v>454.39</v>
      </c>
      <c r="E62" s="564">
        <v>3372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36" s="565" customFormat="1" ht="15.75" x14ac:dyDescent="0.25">
      <c r="A63" s="685" t="s">
        <v>935</v>
      </c>
      <c r="B63" s="733">
        <v>5216006486</v>
      </c>
      <c r="C63" s="563" t="s">
        <v>1168</v>
      </c>
      <c r="D63" s="572">
        <v>25.7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36" s="619" customFormat="1" ht="15.75" x14ac:dyDescent="0.25">
      <c r="A64" s="686" t="s">
        <v>910</v>
      </c>
      <c r="B64" s="709">
        <v>5216007171</v>
      </c>
      <c r="C64" s="546"/>
      <c r="D64" s="618"/>
      <c r="E64" s="547"/>
      <c r="F64" s="548"/>
      <c r="G64" s="547"/>
      <c r="H64" s="618"/>
      <c r="I64" s="547"/>
      <c r="J64" s="546"/>
      <c r="K64" s="546"/>
      <c r="L64" s="546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</row>
    <row r="65" spans="1:36" s="565" customFormat="1" ht="15.75" x14ac:dyDescent="0.25">
      <c r="A65" s="685" t="s">
        <v>862</v>
      </c>
      <c r="B65" s="733">
        <v>5216006487</v>
      </c>
      <c r="C65" s="563" t="s">
        <v>1168</v>
      </c>
      <c r="D65" s="572">
        <v>1094.03</v>
      </c>
      <c r="E65" s="564">
        <v>9150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36" s="565" customFormat="1" ht="15.75" x14ac:dyDescent="0.25">
      <c r="A66" s="685" t="s">
        <v>843</v>
      </c>
      <c r="B66" s="733">
        <v>5216006488</v>
      </c>
      <c r="C66" s="609" t="s">
        <v>1166</v>
      </c>
      <c r="D66" s="572">
        <v>27.26</v>
      </c>
      <c r="E66" s="564">
        <v>202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36" s="565" customFormat="1" ht="16.5" customHeight="1" x14ac:dyDescent="0.25">
      <c r="A67" s="685" t="s">
        <v>842</v>
      </c>
      <c r="B67" s="733">
        <v>5216006489</v>
      </c>
      <c r="C67" s="563" t="s">
        <v>1166</v>
      </c>
      <c r="D67" s="572">
        <v>41.48</v>
      </c>
      <c r="E67" s="564"/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36" s="199" customFormat="1" ht="26.25" x14ac:dyDescent="0.25">
      <c r="A68" s="698" t="s">
        <v>878</v>
      </c>
      <c r="B68" s="710"/>
      <c r="C68" s="249"/>
      <c r="D68" s="250"/>
      <c r="E68" s="251"/>
      <c r="F68" s="543"/>
      <c r="G68" s="251"/>
      <c r="H68" s="250"/>
      <c r="I68" s="251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734" t="s">
        <v>208</v>
      </c>
      <c r="C69" s="266" t="s">
        <v>1164</v>
      </c>
      <c r="D69" s="263">
        <v>166</v>
      </c>
      <c r="E69" s="264">
        <v>1496</v>
      </c>
      <c r="F69" s="583"/>
      <c r="G69" s="264"/>
      <c r="H69" s="263"/>
      <c r="I69" s="264"/>
      <c r="J69" s="262" t="s">
        <v>33</v>
      </c>
      <c r="K69" s="262"/>
      <c r="L69" s="262"/>
    </row>
    <row r="70" spans="1:36" s="149" customFormat="1" ht="26.25" x14ac:dyDescent="0.25">
      <c r="A70" s="699" t="s">
        <v>52</v>
      </c>
      <c r="B70" s="734" t="s">
        <v>209</v>
      </c>
      <c r="C70" s="266" t="s">
        <v>1164</v>
      </c>
      <c r="D70" s="263">
        <v>168</v>
      </c>
      <c r="E70" s="264">
        <v>1291</v>
      </c>
      <c r="F70" s="583"/>
      <c r="G70" s="264"/>
      <c r="H70" s="263"/>
      <c r="I70" s="264"/>
      <c r="J70" s="262" t="s">
        <v>33</v>
      </c>
      <c r="K70" s="262"/>
      <c r="L70" s="262"/>
    </row>
    <row r="71" spans="1:36" s="149" customFormat="1" ht="15" customHeight="1" x14ac:dyDescent="0.25">
      <c r="A71" s="699" t="s">
        <v>54</v>
      </c>
      <c r="B71" s="734">
        <v>7039100</v>
      </c>
      <c r="C71" s="266" t="s">
        <v>1164</v>
      </c>
      <c r="D71" s="263">
        <v>92</v>
      </c>
      <c r="E71" s="264">
        <v>453</v>
      </c>
      <c r="F71" s="583"/>
      <c r="G71" s="264"/>
      <c r="H71" s="263"/>
      <c r="I71" s="264"/>
      <c r="J71" s="262" t="s">
        <v>33</v>
      </c>
      <c r="K71" s="262"/>
      <c r="L71" s="262"/>
    </row>
    <row r="72" spans="1:36" s="149" customFormat="1" hidden="1" x14ac:dyDescent="0.25">
      <c r="A72" s="699" t="s">
        <v>55</v>
      </c>
      <c r="B72" s="734" t="s">
        <v>212</v>
      </c>
      <c r="C72" s="266" t="s">
        <v>1164</v>
      </c>
      <c r="D72" s="263">
        <v>40</v>
      </c>
      <c r="E72" s="264">
        <v>104</v>
      </c>
      <c r="F72" s="583"/>
      <c r="G72" s="264"/>
      <c r="H72" s="263"/>
      <c r="I72" s="264"/>
      <c r="J72" s="262" t="s">
        <v>33</v>
      </c>
      <c r="K72" s="262"/>
      <c r="L72" s="262"/>
    </row>
    <row r="73" spans="1:36" s="149" customFormat="1" x14ac:dyDescent="0.25">
      <c r="A73" s="699" t="s">
        <v>56</v>
      </c>
      <c r="B73" s="734" t="s">
        <v>213</v>
      </c>
      <c r="C73" s="266" t="s">
        <v>1164</v>
      </c>
      <c r="D73" s="263">
        <v>41</v>
      </c>
      <c r="E73" s="264">
        <v>119</v>
      </c>
      <c r="F73" s="583"/>
      <c r="G73" s="264"/>
      <c r="H73" s="263"/>
      <c r="I73" s="264"/>
      <c r="J73" s="262" t="s">
        <v>33</v>
      </c>
      <c r="K73" s="262"/>
      <c r="L73" s="262"/>
    </row>
    <row r="74" spans="1:36" s="149" customFormat="1" ht="26.25" x14ac:dyDescent="0.25">
      <c r="A74" s="699" t="s">
        <v>57</v>
      </c>
      <c r="B74" s="734" t="s">
        <v>214</v>
      </c>
      <c r="C74" s="266" t="s">
        <v>1164</v>
      </c>
      <c r="D74" s="263">
        <v>249</v>
      </c>
      <c r="E74" s="264">
        <v>2188</v>
      </c>
      <c r="F74" s="583"/>
      <c r="G74" s="264"/>
      <c r="H74" s="263"/>
      <c r="I74" s="264"/>
      <c r="J74" s="262" t="s">
        <v>33</v>
      </c>
      <c r="K74" s="262"/>
      <c r="L74" s="262"/>
    </row>
    <row r="75" spans="1:36" s="149" customFormat="1" x14ac:dyDescent="0.25">
      <c r="A75" s="699" t="s">
        <v>58</v>
      </c>
      <c r="B75" s="734" t="s">
        <v>215</v>
      </c>
      <c r="C75" s="266" t="s">
        <v>1164</v>
      </c>
      <c r="D75" s="263">
        <v>92</v>
      </c>
      <c r="E75" s="264">
        <v>774</v>
      </c>
      <c r="F75" s="583"/>
      <c r="G75" s="264"/>
      <c r="H75" s="263"/>
      <c r="I75" s="264"/>
      <c r="J75" s="262" t="s">
        <v>33</v>
      </c>
      <c r="K75" s="262"/>
      <c r="L75" s="262"/>
    </row>
    <row r="76" spans="1:36" s="149" customFormat="1" x14ac:dyDescent="0.25">
      <c r="A76" s="699" t="s">
        <v>770</v>
      </c>
      <c r="B76" s="734" t="s">
        <v>216</v>
      </c>
      <c r="C76" s="266" t="s">
        <v>1164</v>
      </c>
      <c r="D76" s="263">
        <v>63</v>
      </c>
      <c r="E76" s="264">
        <v>359</v>
      </c>
      <c r="F76" s="583"/>
      <c r="G76" s="264"/>
      <c r="H76" s="263"/>
      <c r="I76" s="264"/>
      <c r="J76" s="262" t="s">
        <v>33</v>
      </c>
      <c r="K76" s="262"/>
      <c r="L76" s="262"/>
    </row>
    <row r="77" spans="1:36" s="149" customFormat="1" ht="26.25" x14ac:dyDescent="0.25">
      <c r="A77" s="699" t="s">
        <v>60</v>
      </c>
      <c r="B77" s="734" t="s">
        <v>217</v>
      </c>
      <c r="C77" s="266" t="s">
        <v>1164</v>
      </c>
      <c r="D77" s="263">
        <v>57</v>
      </c>
      <c r="E77" s="264">
        <v>67</v>
      </c>
      <c r="F77" s="583"/>
      <c r="G77" s="264"/>
      <c r="H77" s="263"/>
      <c r="I77" s="264"/>
      <c r="J77" s="262" t="s">
        <v>33</v>
      </c>
      <c r="K77" s="262"/>
      <c r="L77" s="262"/>
    </row>
    <row r="78" spans="1:36" s="149" customFormat="1" x14ac:dyDescent="0.25">
      <c r="A78" s="699" t="s">
        <v>61</v>
      </c>
      <c r="B78" s="734" t="s">
        <v>218</v>
      </c>
      <c r="C78" s="266" t="s">
        <v>1164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2"/>
      <c r="L78" s="262"/>
    </row>
    <row r="79" spans="1:36" s="149" customFormat="1" x14ac:dyDescent="0.25">
      <c r="A79" s="699" t="s">
        <v>62</v>
      </c>
      <c r="B79" s="734" t="s">
        <v>219</v>
      </c>
      <c r="C79" s="266" t="s">
        <v>1164</v>
      </c>
      <c r="D79" s="263">
        <v>53</v>
      </c>
      <c r="E79" s="264">
        <v>246</v>
      </c>
      <c r="F79" s="583"/>
      <c r="G79" s="264"/>
      <c r="H79" s="263"/>
      <c r="I79" s="264"/>
      <c r="J79" s="262" t="s">
        <v>33</v>
      </c>
      <c r="K79" s="262"/>
      <c r="L79" s="262"/>
    </row>
    <row r="80" spans="1:36" s="149" customFormat="1" x14ac:dyDescent="0.25">
      <c r="A80" s="699" t="s">
        <v>771</v>
      </c>
      <c r="B80" s="734">
        <v>1402294701</v>
      </c>
      <c r="C80" s="266" t="s">
        <v>1164</v>
      </c>
      <c r="D80" s="263">
        <v>130.69</v>
      </c>
      <c r="E80" s="264">
        <v>890</v>
      </c>
      <c r="F80" s="583"/>
      <c r="G80" s="264"/>
      <c r="H80" s="263"/>
      <c r="I80" s="264"/>
      <c r="J80" s="262"/>
      <c r="K80" s="262"/>
      <c r="L80" s="262"/>
    </row>
    <row r="81" spans="1:36" s="148" customFormat="1" x14ac:dyDescent="0.25">
      <c r="A81" s="720" t="s">
        <v>621</v>
      </c>
      <c r="B81" s="735" t="s">
        <v>201</v>
      </c>
      <c r="C81" s="738" t="s">
        <v>1164</v>
      </c>
      <c r="D81" s="257">
        <v>64</v>
      </c>
      <c r="E81" s="258">
        <v>193</v>
      </c>
      <c r="F81" s="586"/>
      <c r="G81" s="258"/>
      <c r="H81" s="257"/>
      <c r="I81" s="258"/>
      <c r="J81" s="256" t="s">
        <v>33</v>
      </c>
      <c r="K81" s="256"/>
      <c r="L81" s="256"/>
    </row>
    <row r="82" spans="1:36" s="149" customFormat="1" x14ac:dyDescent="0.25">
      <c r="A82" s="699" t="s">
        <v>768</v>
      </c>
      <c r="B82" s="734" t="s">
        <v>202</v>
      </c>
      <c r="C82" s="266" t="s">
        <v>1164</v>
      </c>
      <c r="D82" s="263">
        <v>1374</v>
      </c>
      <c r="E82" s="264">
        <v>10320</v>
      </c>
      <c r="F82" s="583"/>
      <c r="G82" s="264"/>
      <c r="H82" s="263"/>
      <c r="I82" s="264"/>
      <c r="J82" s="262" t="s">
        <v>33</v>
      </c>
      <c r="K82" s="262"/>
      <c r="L82" s="262"/>
    </row>
    <row r="83" spans="1:36" s="149" customFormat="1" x14ac:dyDescent="0.25">
      <c r="A83" s="699" t="s">
        <v>96</v>
      </c>
      <c r="B83" s="734">
        <v>7815400</v>
      </c>
      <c r="C83" s="262" t="s">
        <v>1164</v>
      </c>
      <c r="D83" s="263">
        <v>152</v>
      </c>
      <c r="E83" s="264">
        <v>1256</v>
      </c>
      <c r="F83" s="583"/>
      <c r="G83" s="264"/>
      <c r="H83" s="263"/>
      <c r="I83" s="264"/>
      <c r="J83" s="262" t="s">
        <v>33</v>
      </c>
      <c r="K83" s="262"/>
      <c r="L83" s="262"/>
    </row>
    <row r="84" spans="1:36" s="149" customFormat="1" ht="26.25" x14ac:dyDescent="0.25">
      <c r="A84" s="699" t="s">
        <v>97</v>
      </c>
      <c r="B84" s="734" t="s">
        <v>204</v>
      </c>
      <c r="C84" s="262" t="s">
        <v>1164</v>
      </c>
      <c r="D84" s="263">
        <v>56</v>
      </c>
      <c r="E84" s="264">
        <v>0.72</v>
      </c>
      <c r="F84" s="583"/>
      <c r="G84" s="264"/>
      <c r="H84" s="263"/>
      <c r="I84" s="264"/>
      <c r="J84" s="262" t="s">
        <v>33</v>
      </c>
      <c r="K84" s="262"/>
      <c r="L84" s="262"/>
    </row>
    <row r="85" spans="1:36" s="149" customFormat="1" x14ac:dyDescent="0.25">
      <c r="A85" s="699" t="s">
        <v>98</v>
      </c>
      <c r="B85" s="734" t="s">
        <v>205</v>
      </c>
      <c r="C85" s="262" t="s">
        <v>1164</v>
      </c>
      <c r="D85" s="263">
        <v>31</v>
      </c>
      <c r="E85" s="264">
        <v>0.06</v>
      </c>
      <c r="F85" s="583"/>
      <c r="G85" s="264"/>
      <c r="H85" s="263"/>
      <c r="I85" s="264"/>
      <c r="J85" s="262" t="s">
        <v>33</v>
      </c>
      <c r="K85" s="262"/>
      <c r="L85" s="262"/>
    </row>
    <row r="86" spans="1:36" s="149" customFormat="1" x14ac:dyDescent="0.25">
      <c r="A86" s="699" t="s">
        <v>769</v>
      </c>
      <c r="B86" s="734" t="s">
        <v>206</v>
      </c>
      <c r="C86" s="262" t="s">
        <v>1164</v>
      </c>
      <c r="D86" s="263">
        <v>155</v>
      </c>
      <c r="E86" s="264">
        <v>1288</v>
      </c>
      <c r="F86" s="583"/>
      <c r="G86" s="264"/>
      <c r="H86" s="263"/>
      <c r="I86" s="264"/>
      <c r="J86" s="262" t="s">
        <v>33</v>
      </c>
      <c r="K86" s="262"/>
      <c r="L86" s="262"/>
    </row>
    <row r="87" spans="1:36" s="149" customFormat="1" x14ac:dyDescent="0.25">
      <c r="A87" s="699" t="s">
        <v>100</v>
      </c>
      <c r="B87" s="739">
        <v>1323346600</v>
      </c>
      <c r="C87" s="262" t="s">
        <v>1164</v>
      </c>
      <c r="D87" s="263">
        <v>304</v>
      </c>
      <c r="E87" s="264">
        <v>1800</v>
      </c>
      <c r="F87" s="583"/>
      <c r="G87" s="264"/>
      <c r="H87" s="263"/>
      <c r="I87" s="264"/>
      <c r="J87" s="262" t="s">
        <v>33</v>
      </c>
      <c r="K87" s="262"/>
      <c r="L87" s="262"/>
    </row>
    <row r="88" spans="1:36" s="149" customFormat="1" x14ac:dyDescent="0.25">
      <c r="A88" s="699" t="s">
        <v>101</v>
      </c>
      <c r="B88" s="739">
        <v>1322699400</v>
      </c>
      <c r="C88" s="266" t="s">
        <v>1164</v>
      </c>
      <c r="D88" s="263">
        <v>412</v>
      </c>
      <c r="E88" s="264">
        <v>3600</v>
      </c>
      <c r="F88" s="583"/>
      <c r="G88" s="264"/>
      <c r="H88" s="263"/>
      <c r="I88" s="264"/>
      <c r="J88" s="262" t="s">
        <v>33</v>
      </c>
      <c r="K88" s="262"/>
      <c r="L88" s="262"/>
    </row>
    <row r="89" spans="1:36" s="352" customFormat="1" ht="26.25" x14ac:dyDescent="0.25">
      <c r="A89" s="700" t="s">
        <v>772</v>
      </c>
      <c r="B89" s="737" t="s">
        <v>200</v>
      </c>
      <c r="C89" s="348" t="s">
        <v>1163</v>
      </c>
      <c r="D89" s="349">
        <v>270</v>
      </c>
      <c r="E89" s="350">
        <v>16.86</v>
      </c>
      <c r="F89" s="593"/>
      <c r="G89" s="350"/>
      <c r="H89" s="349"/>
      <c r="I89" s="350"/>
      <c r="J89" s="348" t="s">
        <v>33</v>
      </c>
      <c r="K89" s="348"/>
      <c r="L89" s="348"/>
    </row>
    <row r="90" spans="1:36" s="149" customFormat="1" x14ac:dyDescent="0.25">
      <c r="A90" s="699" t="s">
        <v>110</v>
      </c>
      <c r="B90" s="734" t="s">
        <v>207</v>
      </c>
      <c r="C90" s="262" t="s">
        <v>1164</v>
      </c>
      <c r="D90" s="263">
        <v>120</v>
      </c>
      <c r="E90" s="264">
        <v>296</v>
      </c>
      <c r="F90" s="583"/>
      <c r="G90" s="264"/>
      <c r="H90" s="263"/>
      <c r="I90" s="264"/>
      <c r="J90" s="262" t="s">
        <v>33</v>
      </c>
      <c r="K90" s="262"/>
      <c r="L90" s="262"/>
    </row>
    <row r="91" spans="1:36" s="184" customFormat="1" x14ac:dyDescent="0.25">
      <c r="A91" s="695" t="s">
        <v>111</v>
      </c>
      <c r="B91" s="707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</row>
    <row r="92" spans="1:36" s="149" customFormat="1" ht="15.75" customHeight="1" x14ac:dyDescent="0.25">
      <c r="A92" s="699" t="s">
        <v>117</v>
      </c>
      <c r="B92" s="734" t="s">
        <v>220</v>
      </c>
      <c r="C92" s="262" t="s">
        <v>1164</v>
      </c>
      <c r="D92" s="263">
        <v>95</v>
      </c>
      <c r="E92" s="264">
        <v>514</v>
      </c>
      <c r="F92" s="583"/>
      <c r="G92" s="264"/>
      <c r="H92" s="263"/>
      <c r="I92" s="264"/>
      <c r="J92" s="262" t="s">
        <v>33</v>
      </c>
      <c r="K92" s="262"/>
      <c r="L92" s="262"/>
    </row>
    <row r="93" spans="1:36" s="149" customFormat="1" x14ac:dyDescent="0.25">
      <c r="A93" s="699" t="s">
        <v>118</v>
      </c>
      <c r="B93" s="734" t="s">
        <v>221</v>
      </c>
      <c r="C93" s="266" t="s">
        <v>1164</v>
      </c>
      <c r="D93" s="263">
        <v>98</v>
      </c>
      <c r="E93" s="264">
        <v>748</v>
      </c>
      <c r="F93" s="583"/>
      <c r="G93" s="264"/>
      <c r="H93" s="263"/>
      <c r="I93" s="264"/>
      <c r="J93" s="262" t="s">
        <v>33</v>
      </c>
      <c r="K93" s="262"/>
      <c r="L93" s="262"/>
    </row>
    <row r="94" spans="1:36" s="149" customFormat="1" x14ac:dyDescent="0.25">
      <c r="A94" s="699" t="s">
        <v>701</v>
      </c>
      <c r="B94" s="734">
        <v>1323115001</v>
      </c>
      <c r="C94" s="266" t="s">
        <v>1164</v>
      </c>
      <c r="D94" s="263">
        <v>1413</v>
      </c>
      <c r="E94" s="264">
        <v>17160</v>
      </c>
      <c r="F94" s="583"/>
      <c r="G94" s="264"/>
      <c r="H94" s="263"/>
      <c r="I94" s="264"/>
      <c r="J94" s="262"/>
      <c r="K94" s="262"/>
      <c r="L94" s="262"/>
    </row>
    <row r="95" spans="1:36" s="149" customFormat="1" x14ac:dyDescent="0.25">
      <c r="A95" s="699" t="s">
        <v>683</v>
      </c>
      <c r="B95" s="734">
        <v>1322673502</v>
      </c>
      <c r="C95" s="266" t="s">
        <v>1164</v>
      </c>
      <c r="D95" s="263">
        <v>203</v>
      </c>
      <c r="E95" s="264">
        <v>1685</v>
      </c>
      <c r="F95" s="583"/>
      <c r="G95" s="264"/>
      <c r="H95" s="263"/>
      <c r="I95" s="264"/>
      <c r="J95" s="262"/>
      <c r="K95" s="262"/>
      <c r="L95" s="262"/>
    </row>
    <row r="96" spans="1:36" s="149" customFormat="1" x14ac:dyDescent="0.25">
      <c r="A96" s="699" t="s">
        <v>702</v>
      </c>
      <c r="B96" s="734">
        <v>1322725900</v>
      </c>
      <c r="C96" s="266" t="s">
        <v>1164</v>
      </c>
      <c r="D96" s="263">
        <v>279</v>
      </c>
      <c r="E96" s="264">
        <v>1320</v>
      </c>
      <c r="F96" s="583"/>
      <c r="G96" s="264"/>
      <c r="H96" s="263"/>
      <c r="I96" s="264"/>
      <c r="J96" s="262"/>
      <c r="K96" s="262"/>
      <c r="L96" s="262"/>
    </row>
    <row r="97" spans="1:36" s="199" customFormat="1" x14ac:dyDescent="0.25">
      <c r="A97" s="698" t="s">
        <v>434</v>
      </c>
      <c r="B97" s="710"/>
      <c r="C97" s="249"/>
      <c r="D97" s="250"/>
      <c r="E97" s="251"/>
      <c r="F97" s="543"/>
      <c r="G97" s="251"/>
      <c r="H97" s="250"/>
      <c r="I97" s="251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49" customFormat="1" x14ac:dyDescent="0.25">
      <c r="A98" s="699" t="s">
        <v>65</v>
      </c>
      <c r="B98" s="734" t="s">
        <v>163</v>
      </c>
      <c r="C98" s="262" t="s">
        <v>1164</v>
      </c>
      <c r="D98" s="263"/>
      <c r="E98" s="264"/>
      <c r="F98" s="583"/>
      <c r="G98" s="264"/>
      <c r="H98" s="263">
        <v>206.96</v>
      </c>
      <c r="I98" s="264">
        <v>297</v>
      </c>
      <c r="J98" s="262"/>
      <c r="K98" s="262"/>
      <c r="L98" s="262"/>
    </row>
    <row r="99" spans="1:36" s="149" customFormat="1" x14ac:dyDescent="0.25">
      <c r="A99" s="699" t="s">
        <v>37</v>
      </c>
      <c r="B99" s="734" t="s">
        <v>190</v>
      </c>
      <c r="C99" s="266" t="s">
        <v>1164</v>
      </c>
      <c r="D99" s="263"/>
      <c r="E99" s="264"/>
      <c r="F99" s="583"/>
      <c r="G99" s="264"/>
      <c r="H99" s="263">
        <v>324.14999999999998</v>
      </c>
      <c r="I99" s="264">
        <v>458</v>
      </c>
      <c r="J99" s="262"/>
      <c r="K99" s="262"/>
      <c r="L99" s="262"/>
    </row>
    <row r="100" spans="1:36" s="149" customFormat="1" x14ac:dyDescent="0.25">
      <c r="A100" s="699" t="s">
        <v>71</v>
      </c>
      <c r="B100" s="734" t="s">
        <v>188</v>
      </c>
      <c r="C100" s="262" t="s">
        <v>1164</v>
      </c>
      <c r="D100" s="263"/>
      <c r="E100" s="264"/>
      <c r="F100" s="583"/>
      <c r="G100" s="264"/>
      <c r="H100" s="263">
        <v>33.659999999999997</v>
      </c>
      <c r="I100" s="264">
        <v>18</v>
      </c>
      <c r="J100" s="262"/>
      <c r="K100" s="262"/>
      <c r="L100" s="262"/>
    </row>
    <row r="101" spans="1:36" s="149" customFormat="1" x14ac:dyDescent="0.25">
      <c r="A101" s="699" t="s">
        <v>72</v>
      </c>
      <c r="B101" s="734" t="s">
        <v>187</v>
      </c>
      <c r="C101" s="262" t="s">
        <v>1164</v>
      </c>
      <c r="D101" s="263"/>
      <c r="E101" s="264"/>
      <c r="F101" s="583"/>
      <c r="G101" s="264"/>
      <c r="H101" s="263">
        <v>33.659999999999997</v>
      </c>
      <c r="I101" s="264">
        <v>8</v>
      </c>
      <c r="J101" s="262"/>
      <c r="K101" s="262"/>
      <c r="L101" s="262"/>
    </row>
    <row r="102" spans="1:36" s="149" customFormat="1" x14ac:dyDescent="0.25">
      <c r="A102" s="699" t="s">
        <v>73</v>
      </c>
      <c r="B102" s="734" t="s">
        <v>171</v>
      </c>
      <c r="C102" s="262" t="s">
        <v>1164</v>
      </c>
      <c r="D102" s="263"/>
      <c r="E102" s="264"/>
      <c r="F102" s="583"/>
      <c r="G102" s="264"/>
      <c r="H102" s="263">
        <v>64.63</v>
      </c>
      <c r="I102" s="264">
        <v>78</v>
      </c>
      <c r="J102" s="262"/>
      <c r="K102" s="262"/>
      <c r="L102" s="262"/>
    </row>
    <row r="103" spans="1:36" s="149" customFormat="1" x14ac:dyDescent="0.25">
      <c r="A103" s="699" t="s">
        <v>74</v>
      </c>
      <c r="B103" s="734" t="s">
        <v>170</v>
      </c>
      <c r="C103" s="262" t="s">
        <v>1164</v>
      </c>
      <c r="D103" s="263"/>
      <c r="E103" s="264"/>
      <c r="F103" s="583"/>
      <c r="G103" s="264"/>
      <c r="H103" s="263">
        <v>33.659999999999997</v>
      </c>
      <c r="I103" s="264">
        <v>13</v>
      </c>
      <c r="J103" s="262"/>
      <c r="K103" s="262"/>
      <c r="L103" s="262"/>
    </row>
    <row r="104" spans="1:36" s="149" customFormat="1" x14ac:dyDescent="0.25">
      <c r="A104" s="699" t="s">
        <v>75</v>
      </c>
      <c r="B104" s="734" t="s">
        <v>189</v>
      </c>
      <c r="C104" s="262" t="s">
        <v>1164</v>
      </c>
      <c r="D104" s="263"/>
      <c r="E104" s="264"/>
      <c r="F104" s="583"/>
      <c r="G104" s="264"/>
      <c r="H104" s="263">
        <v>43.27</v>
      </c>
      <c r="I104" s="264">
        <v>38</v>
      </c>
      <c r="J104" s="262"/>
      <c r="K104" s="262"/>
      <c r="L104" s="262"/>
    </row>
    <row r="105" spans="1:36" s="149" customFormat="1" x14ac:dyDescent="0.25">
      <c r="A105" s="699" t="s">
        <v>76</v>
      </c>
      <c r="B105" s="734" t="s">
        <v>169</v>
      </c>
      <c r="C105" s="262" t="s">
        <v>1164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36" s="149" customFormat="1" x14ac:dyDescent="0.25">
      <c r="A106" s="699" t="s">
        <v>77</v>
      </c>
      <c r="B106" s="734" t="s">
        <v>168</v>
      </c>
      <c r="C106" s="262" t="s">
        <v>1164</v>
      </c>
      <c r="D106" s="263"/>
      <c r="E106" s="264"/>
      <c r="F106" s="583"/>
      <c r="G106" s="264"/>
      <c r="H106" s="263">
        <v>399.12</v>
      </c>
      <c r="I106" s="264">
        <v>556</v>
      </c>
      <c r="J106" s="262"/>
      <c r="K106" s="262"/>
      <c r="L106" s="262"/>
    </row>
    <row r="107" spans="1:36" s="149" customFormat="1" x14ac:dyDescent="0.25">
      <c r="A107" s="699" t="s">
        <v>78</v>
      </c>
      <c r="B107" s="734" t="s">
        <v>197</v>
      </c>
      <c r="C107" s="262" t="s">
        <v>1164</v>
      </c>
      <c r="D107" s="263"/>
      <c r="E107" s="264"/>
      <c r="F107" s="583"/>
      <c r="G107" s="264"/>
      <c r="H107" s="263">
        <v>33.659999999999997</v>
      </c>
      <c r="I107" s="264">
        <v>20</v>
      </c>
      <c r="J107" s="262"/>
      <c r="K107" s="262"/>
      <c r="L107" s="262"/>
    </row>
    <row r="108" spans="1:36" s="149" customFormat="1" x14ac:dyDescent="0.25">
      <c r="A108" s="699" t="s">
        <v>79</v>
      </c>
      <c r="B108" s="734" t="s">
        <v>167</v>
      </c>
      <c r="C108" s="266" t="s">
        <v>1164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36" s="149" customFormat="1" x14ac:dyDescent="0.25">
      <c r="A109" s="728" t="s">
        <v>80</v>
      </c>
      <c r="B109" s="740" t="s">
        <v>177</v>
      </c>
      <c r="C109" s="285" t="s">
        <v>1164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36" s="149" customFormat="1" x14ac:dyDescent="0.25">
      <c r="A110" s="699" t="s">
        <v>81</v>
      </c>
      <c r="B110" s="734" t="s">
        <v>180</v>
      </c>
      <c r="C110" s="262" t="s">
        <v>1164</v>
      </c>
      <c r="D110" s="263"/>
      <c r="E110" s="264"/>
      <c r="F110" s="583"/>
      <c r="G110" s="264"/>
      <c r="H110" s="263">
        <v>33.659999999999997</v>
      </c>
      <c r="I110" s="264">
        <v>17</v>
      </c>
      <c r="J110" s="262"/>
      <c r="K110" s="262"/>
      <c r="L110" s="262"/>
    </row>
    <row r="111" spans="1:36" s="149" customFormat="1" x14ac:dyDescent="0.25">
      <c r="A111" s="699" t="s">
        <v>82</v>
      </c>
      <c r="B111" s="734" t="s">
        <v>179</v>
      </c>
      <c r="C111" s="262" t="s">
        <v>1164</v>
      </c>
      <c r="D111" s="263"/>
      <c r="E111" s="264"/>
      <c r="F111" s="583"/>
      <c r="G111" s="264"/>
      <c r="H111" s="263">
        <v>75.31</v>
      </c>
      <c r="I111" s="264">
        <v>98</v>
      </c>
      <c r="J111" s="262"/>
      <c r="K111" s="262"/>
      <c r="L111" s="262"/>
    </row>
    <row r="112" spans="1:36" s="149" customFormat="1" x14ac:dyDescent="0.25">
      <c r="A112" s="699" t="s">
        <v>83</v>
      </c>
      <c r="B112" s="734" t="s">
        <v>178</v>
      </c>
      <c r="C112" s="262" t="s">
        <v>1164</v>
      </c>
      <c r="D112" s="263"/>
      <c r="E112" s="264"/>
      <c r="F112" s="583"/>
      <c r="G112" s="264"/>
      <c r="H112" s="263">
        <v>33.659999999999997</v>
      </c>
      <c r="I112" s="264">
        <v>16</v>
      </c>
      <c r="J112" s="262"/>
      <c r="K112" s="262"/>
      <c r="L112" s="262"/>
    </row>
    <row r="113" spans="1:36" s="149" customFormat="1" x14ac:dyDescent="0.25">
      <c r="A113" s="699" t="s">
        <v>84</v>
      </c>
      <c r="B113" s="734" t="s">
        <v>175</v>
      </c>
      <c r="C113" s="262" t="s">
        <v>1164</v>
      </c>
      <c r="D113" s="263"/>
      <c r="E113" s="264"/>
      <c r="F113" s="583"/>
      <c r="G113" s="264"/>
      <c r="H113" s="263">
        <v>33.659999999999997</v>
      </c>
      <c r="I113" s="264">
        <v>6</v>
      </c>
      <c r="J113" s="262"/>
      <c r="K113" s="262"/>
      <c r="L113" s="262"/>
    </row>
    <row r="114" spans="1:36" s="149" customFormat="1" x14ac:dyDescent="0.25">
      <c r="A114" s="699" t="s">
        <v>85</v>
      </c>
      <c r="B114" s="734" t="s">
        <v>184</v>
      </c>
      <c r="C114" s="262" t="s">
        <v>1164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36" s="149" customFormat="1" x14ac:dyDescent="0.25">
      <c r="A115" s="699" t="s">
        <v>86</v>
      </c>
      <c r="B115" s="734" t="s">
        <v>185</v>
      </c>
      <c r="C115" s="262" t="s">
        <v>1164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36" s="149" customFormat="1" x14ac:dyDescent="0.25">
      <c r="A116" s="699" t="s">
        <v>87</v>
      </c>
      <c r="B116" s="734" t="s">
        <v>181</v>
      </c>
      <c r="C116" s="262" t="s">
        <v>1164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36" s="149" customFormat="1" x14ac:dyDescent="0.25">
      <c r="A117" s="699" t="s">
        <v>88</v>
      </c>
      <c r="B117" s="734" t="s">
        <v>172</v>
      </c>
      <c r="C117" s="262" t="s">
        <v>1164</v>
      </c>
      <c r="D117" s="263"/>
      <c r="E117" s="264"/>
      <c r="F117" s="583"/>
      <c r="G117" s="264"/>
      <c r="H117" s="263">
        <v>38.47</v>
      </c>
      <c r="I117" s="264">
        <v>29</v>
      </c>
      <c r="J117" s="262"/>
      <c r="K117" s="262"/>
      <c r="L117" s="262"/>
    </row>
    <row r="118" spans="1:36" s="149" customFormat="1" x14ac:dyDescent="0.25">
      <c r="A118" s="699" t="s">
        <v>89</v>
      </c>
      <c r="B118" s="734" t="s">
        <v>173</v>
      </c>
      <c r="C118" s="262" t="s">
        <v>1164</v>
      </c>
      <c r="D118" s="263"/>
      <c r="E118" s="264"/>
      <c r="F118" s="583"/>
      <c r="G118" s="264"/>
      <c r="H118" s="263">
        <v>309.62</v>
      </c>
      <c r="I118" s="264">
        <v>439</v>
      </c>
      <c r="J118" s="262"/>
      <c r="K118" s="262"/>
      <c r="L118" s="262"/>
    </row>
    <row r="119" spans="1:36" s="149" customFormat="1" x14ac:dyDescent="0.25">
      <c r="A119" s="699" t="s">
        <v>90</v>
      </c>
      <c r="B119" s="734" t="s">
        <v>174</v>
      </c>
      <c r="C119" s="262" t="s">
        <v>1164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36" s="149" customFormat="1" x14ac:dyDescent="0.25">
      <c r="A120" s="699" t="s">
        <v>91</v>
      </c>
      <c r="B120" s="734" t="s">
        <v>182</v>
      </c>
      <c r="C120" s="262" t="s">
        <v>1164</v>
      </c>
      <c r="D120" s="263"/>
      <c r="E120" s="264"/>
      <c r="F120" s="583"/>
      <c r="G120" s="264"/>
      <c r="H120" s="263">
        <v>40.6</v>
      </c>
      <c r="I120" s="264">
        <v>33</v>
      </c>
      <c r="J120" s="262"/>
      <c r="K120" s="262"/>
      <c r="L120" s="262"/>
    </row>
    <row r="121" spans="1:36" s="149" customFormat="1" x14ac:dyDescent="0.25">
      <c r="A121" s="699" t="s">
        <v>92</v>
      </c>
      <c r="B121" s="734" t="s">
        <v>186</v>
      </c>
      <c r="C121" s="262" t="s">
        <v>1164</v>
      </c>
      <c r="D121" s="263"/>
      <c r="E121" s="264"/>
      <c r="F121" s="583"/>
      <c r="G121" s="264"/>
      <c r="H121" s="263">
        <v>192.82</v>
      </c>
      <c r="I121" s="264">
        <v>277</v>
      </c>
      <c r="J121" s="262"/>
      <c r="K121" s="262"/>
      <c r="L121" s="262"/>
    </row>
    <row r="122" spans="1:36" s="149" customFormat="1" x14ac:dyDescent="0.25">
      <c r="A122" s="699" t="s">
        <v>93</v>
      </c>
      <c r="B122" s="734" t="s">
        <v>183</v>
      </c>
      <c r="C122" s="262" t="s">
        <v>1164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36" s="149" customFormat="1" x14ac:dyDescent="0.25">
      <c r="A123" s="699" t="s">
        <v>103</v>
      </c>
      <c r="B123" s="734" t="s">
        <v>194</v>
      </c>
      <c r="C123" s="262" t="s">
        <v>1164</v>
      </c>
      <c r="D123" s="263"/>
      <c r="E123" s="264"/>
      <c r="F123" s="583"/>
      <c r="G123" s="264"/>
      <c r="H123" s="263">
        <v>51.48</v>
      </c>
      <c r="I123" s="264">
        <v>4</v>
      </c>
      <c r="J123" s="262"/>
      <c r="K123" s="262"/>
      <c r="L123" s="262"/>
    </row>
    <row r="124" spans="1:36" s="149" customFormat="1" ht="26.25" x14ac:dyDescent="0.25">
      <c r="A124" s="699" t="s">
        <v>983</v>
      </c>
      <c r="B124" s="734" t="s">
        <v>981</v>
      </c>
      <c r="C124" s="262" t="s">
        <v>1164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36" s="149" customFormat="1" x14ac:dyDescent="0.25">
      <c r="A125" s="699" t="s">
        <v>980</v>
      </c>
      <c r="B125" s="734" t="s">
        <v>196</v>
      </c>
      <c r="C125" s="262" t="s">
        <v>1164</v>
      </c>
      <c r="D125" s="263"/>
      <c r="E125" s="264"/>
      <c r="F125" s="583"/>
      <c r="G125" s="264"/>
      <c r="H125" s="263">
        <v>50.49</v>
      </c>
      <c r="I125" s="264">
        <v>5</v>
      </c>
      <c r="J125" s="262"/>
      <c r="K125" s="262"/>
      <c r="L125" s="262"/>
    </row>
    <row r="126" spans="1:36" s="149" customFormat="1" x14ac:dyDescent="0.25">
      <c r="A126" s="699" t="s">
        <v>1076</v>
      </c>
      <c r="B126" s="734" t="s">
        <v>166</v>
      </c>
      <c r="C126" s="262" t="s">
        <v>1164</v>
      </c>
      <c r="D126" s="263"/>
      <c r="E126" s="264"/>
      <c r="F126" s="583"/>
      <c r="G126" s="264"/>
      <c r="H126" s="263">
        <v>44.34</v>
      </c>
      <c r="I126" s="264">
        <v>40</v>
      </c>
      <c r="J126" s="262"/>
      <c r="K126" s="262"/>
      <c r="L126" s="262"/>
    </row>
    <row r="127" spans="1:36" s="184" customFormat="1" x14ac:dyDescent="0.25">
      <c r="A127" s="695" t="s">
        <v>1077</v>
      </c>
      <c r="B127" s="707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5"/>
      <c r="L127" s="245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</row>
    <row r="128" spans="1:36" s="149" customFormat="1" x14ac:dyDescent="0.25">
      <c r="A128" s="699" t="s">
        <v>1075</v>
      </c>
      <c r="B128" s="734" t="s">
        <v>192</v>
      </c>
      <c r="C128" s="262" t="s">
        <v>1164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36" s="149" customFormat="1" x14ac:dyDescent="0.25">
      <c r="A129" s="699" t="s">
        <v>1066</v>
      </c>
      <c r="B129" s="734" t="s">
        <v>139</v>
      </c>
      <c r="C129" s="262" t="s">
        <v>1169</v>
      </c>
      <c r="D129" s="263"/>
      <c r="E129" s="264"/>
      <c r="F129" s="583"/>
      <c r="G129" s="264"/>
      <c r="H129" s="263">
        <v>55.55</v>
      </c>
      <c r="I129" s="264">
        <v>61</v>
      </c>
      <c r="J129" s="262"/>
      <c r="K129" s="262"/>
      <c r="L129" s="262"/>
    </row>
    <row r="130" spans="1:36" s="184" customFormat="1" x14ac:dyDescent="0.25">
      <c r="A130" s="695" t="s">
        <v>64</v>
      </c>
      <c r="B130" s="707" t="s">
        <v>191</v>
      </c>
      <c r="C130" s="289"/>
      <c r="D130" s="269"/>
      <c r="E130" s="270"/>
      <c r="F130" s="544"/>
      <c r="G130" s="270"/>
      <c r="H130" s="269"/>
      <c r="I130" s="270"/>
      <c r="J130" s="245"/>
      <c r="K130" s="245"/>
      <c r="L130" s="245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  <c r="AH130" s="359"/>
      <c r="AI130" s="359"/>
      <c r="AJ130" s="359"/>
    </row>
    <row r="131" spans="1:36" s="149" customFormat="1" x14ac:dyDescent="0.25">
      <c r="A131" s="699" t="s">
        <v>1093</v>
      </c>
      <c r="B131" s="734" t="s">
        <v>131</v>
      </c>
      <c r="C131" s="262" t="s">
        <v>1169</v>
      </c>
      <c r="D131" s="263"/>
      <c r="E131" s="264"/>
      <c r="F131" s="583"/>
      <c r="G131" s="264"/>
      <c r="H131" s="263">
        <v>2994.77</v>
      </c>
      <c r="I131" s="264">
        <v>3949</v>
      </c>
      <c r="J131" s="262"/>
      <c r="K131" s="262"/>
      <c r="L131" s="262"/>
    </row>
    <row r="132" spans="1:36" s="149" customFormat="1" x14ac:dyDescent="0.25">
      <c r="A132" s="699" t="s">
        <v>1092</v>
      </c>
      <c r="B132" s="734" t="s">
        <v>133</v>
      </c>
      <c r="C132" s="262" t="s">
        <v>1169</v>
      </c>
      <c r="D132" s="263"/>
      <c r="E132" s="264"/>
      <c r="F132" s="583"/>
      <c r="G132" s="264"/>
      <c r="H132" s="263">
        <v>36.86</v>
      </c>
      <c r="I132" s="264">
        <v>26</v>
      </c>
      <c r="J132" s="262"/>
      <c r="K132" s="262"/>
      <c r="L132" s="262"/>
    </row>
    <row r="133" spans="1:36" s="149" customFormat="1" x14ac:dyDescent="0.25">
      <c r="A133" s="700" t="s">
        <v>309</v>
      </c>
      <c r="B133" s="734" t="s">
        <v>135</v>
      </c>
      <c r="C133" s="262" t="s">
        <v>1169</v>
      </c>
      <c r="D133" s="263"/>
      <c r="E133" s="264"/>
      <c r="F133" s="583"/>
      <c r="G133" s="264"/>
      <c r="H133" s="263">
        <v>1387.5</v>
      </c>
      <c r="I133" s="264">
        <v>1848</v>
      </c>
      <c r="J133" s="262"/>
      <c r="K133" s="262"/>
      <c r="L133" s="262"/>
    </row>
    <row r="134" spans="1:36" s="149" customFormat="1" x14ac:dyDescent="0.25">
      <c r="A134" s="700" t="s">
        <v>1091</v>
      </c>
      <c r="B134" s="734" t="s">
        <v>138</v>
      </c>
      <c r="C134" s="262" t="s">
        <v>1169</v>
      </c>
      <c r="D134" s="263"/>
      <c r="E134" s="264"/>
      <c r="F134" s="583"/>
      <c r="G134" s="264"/>
      <c r="H134" s="263">
        <v>35.26</v>
      </c>
      <c r="I134" s="264">
        <v>23</v>
      </c>
      <c r="J134" s="262"/>
      <c r="K134" s="262"/>
      <c r="L134" s="262"/>
    </row>
    <row r="135" spans="1:36" s="149" customFormat="1" x14ac:dyDescent="0.25">
      <c r="A135" s="699" t="s">
        <v>1090</v>
      </c>
      <c r="B135" s="734" t="s">
        <v>141</v>
      </c>
      <c r="C135" s="262" t="s">
        <v>1169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36" s="149" customFormat="1" x14ac:dyDescent="0.25">
      <c r="A136" s="699" t="s">
        <v>1089</v>
      </c>
      <c r="B136" s="734" t="s">
        <v>143</v>
      </c>
      <c r="C136" s="266" t="s">
        <v>1169</v>
      </c>
      <c r="D136" s="263"/>
      <c r="E136" s="264"/>
      <c r="F136" s="583"/>
      <c r="G136" s="264"/>
      <c r="H136" s="263">
        <v>39</v>
      </c>
      <c r="I136" s="264">
        <v>30</v>
      </c>
      <c r="J136" s="262"/>
      <c r="K136" s="262"/>
      <c r="L136" s="262"/>
    </row>
    <row r="137" spans="1:36" s="149" customFormat="1" x14ac:dyDescent="0.25">
      <c r="A137" s="699" t="s">
        <v>1088</v>
      </c>
      <c r="B137" s="734" t="s">
        <v>145</v>
      </c>
      <c r="C137" s="262" t="s">
        <v>1169</v>
      </c>
      <c r="D137" s="263"/>
      <c r="E137" s="264"/>
      <c r="F137" s="583"/>
      <c r="G137" s="264"/>
      <c r="H137" s="263">
        <v>444.26</v>
      </c>
      <c r="I137" s="264">
        <v>615</v>
      </c>
      <c r="J137" s="262"/>
      <c r="K137" s="262"/>
      <c r="L137" s="262"/>
    </row>
    <row r="138" spans="1:36" s="149" customFormat="1" x14ac:dyDescent="0.25">
      <c r="A138" s="699" t="s">
        <v>1086</v>
      </c>
      <c r="B138" s="734" t="s">
        <v>147</v>
      </c>
      <c r="C138" s="262" t="s">
        <v>1169</v>
      </c>
      <c r="D138" s="263"/>
      <c r="E138" s="264"/>
      <c r="F138" s="583"/>
      <c r="G138" s="264"/>
      <c r="H138" s="263">
        <v>406.77</v>
      </c>
      <c r="I138" s="264">
        <v>566</v>
      </c>
      <c r="J138" s="262"/>
      <c r="K138" s="262"/>
      <c r="L138" s="262"/>
    </row>
    <row r="139" spans="1:36" s="149" customFormat="1" x14ac:dyDescent="0.25">
      <c r="A139" s="695" t="s">
        <v>176</v>
      </c>
      <c r="B139" s="711" t="s">
        <v>165</v>
      </c>
      <c r="C139" s="245"/>
      <c r="D139" s="269"/>
      <c r="E139" s="270"/>
      <c r="F139" s="544"/>
      <c r="G139" s="270"/>
      <c r="H139" s="269"/>
      <c r="I139" s="270"/>
      <c r="J139" s="245"/>
      <c r="K139" s="245"/>
      <c r="L139" s="245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99" customFormat="1" x14ac:dyDescent="0.25">
      <c r="A140" s="698" t="s">
        <v>433</v>
      </c>
      <c r="B140" s="712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107</v>
      </c>
      <c r="B141" s="734">
        <v>67</v>
      </c>
      <c r="C141" s="266" t="s">
        <v>1165</v>
      </c>
      <c r="D141" s="263"/>
      <c r="E141" s="264"/>
      <c r="F141" s="583"/>
      <c r="G141" s="264"/>
      <c r="H141" s="263">
        <v>50</v>
      </c>
      <c r="I141" s="264">
        <v>100</v>
      </c>
      <c r="J141" s="262"/>
      <c r="K141" s="262"/>
      <c r="L141" s="262"/>
    </row>
    <row r="142" spans="1:36" s="149" customFormat="1" x14ac:dyDescent="0.25">
      <c r="A142" s="699" t="s">
        <v>109</v>
      </c>
      <c r="B142" s="741">
        <v>95</v>
      </c>
      <c r="C142" s="262" t="s">
        <v>1165</v>
      </c>
      <c r="D142" s="263"/>
      <c r="E142" s="264"/>
      <c r="F142" s="583"/>
      <c r="G142" s="264"/>
      <c r="H142" s="263">
        <v>60</v>
      </c>
      <c r="I142" s="264">
        <v>600</v>
      </c>
      <c r="J142" s="262"/>
      <c r="K142" s="262"/>
      <c r="L142" s="262"/>
    </row>
    <row r="143" spans="1:36" s="199" customFormat="1" x14ac:dyDescent="0.25">
      <c r="A143" s="694" t="s">
        <v>432</v>
      </c>
      <c r="B143" s="713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11">
        <v>61</v>
      </c>
      <c r="C144" s="289"/>
      <c r="D144" s="269"/>
      <c r="E144" s="270"/>
      <c r="F144" s="544"/>
      <c r="G144" s="270"/>
      <c r="H144" s="269"/>
      <c r="I144" s="270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712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ht="26.25" x14ac:dyDescent="0.25">
      <c r="A146" s="699" t="s">
        <v>40</v>
      </c>
      <c r="B146" s="736">
        <v>95</v>
      </c>
      <c r="C146" s="266" t="s">
        <v>1161</v>
      </c>
      <c r="D146" s="263"/>
      <c r="E146" s="264"/>
      <c r="F146" s="583"/>
      <c r="G146" s="264"/>
      <c r="H146" s="263">
        <v>20</v>
      </c>
      <c r="I146" s="264">
        <v>500</v>
      </c>
      <c r="J146" s="262"/>
      <c r="K146" s="262"/>
      <c r="L146" s="262"/>
    </row>
    <row r="147" spans="1:88" s="199" customFormat="1" ht="26.25" x14ac:dyDescent="0.25">
      <c r="A147" s="698" t="s">
        <v>430</v>
      </c>
      <c r="B147" s="712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714"/>
      <c r="C148" s="289" t="s">
        <v>1171</v>
      </c>
      <c r="D148" s="269"/>
      <c r="E148" s="270"/>
      <c r="F148" s="544"/>
      <c r="G148" s="270"/>
      <c r="H148" s="269">
        <v>97.69</v>
      </c>
      <c r="I148" s="270">
        <v>165430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6"/>
      <c r="C149" s="355"/>
      <c r="D149" s="356"/>
      <c r="E149" s="357"/>
      <c r="F149" s="717"/>
      <c r="G149" s="357"/>
      <c r="H149" s="356"/>
      <c r="I149" s="357"/>
      <c r="J149" s="718"/>
      <c r="K149" s="355"/>
      <c r="L149" s="355"/>
    </row>
    <row r="150" spans="1:88" s="184" customFormat="1" x14ac:dyDescent="0.25">
      <c r="A150" s="692"/>
      <c r="B150" s="714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714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714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714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714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714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714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714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714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714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714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714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714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714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714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714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714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714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714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714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714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714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714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714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714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714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714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714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714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714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714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714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714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714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714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714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714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714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714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714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714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714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714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714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714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714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714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714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714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714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714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714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714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714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714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714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714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714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714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714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714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714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714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714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714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714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714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714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714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714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714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714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714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714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714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714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714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714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714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714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714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714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714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714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714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714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714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714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714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714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714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714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714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714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714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714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714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714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714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714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714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714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714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714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714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714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714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714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4" sqref="C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42"/>
      <c r="B4" s="743"/>
      <c r="C4" s="743"/>
      <c r="D4" s="743"/>
      <c r="E4" s="743"/>
      <c r="F4" s="743"/>
      <c r="G4" s="74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901340</v>
      </c>
      <c r="D13" s="34"/>
      <c r="E13" s="35" t="s">
        <v>33</v>
      </c>
      <c r="F13" s="34"/>
      <c r="G13" s="42">
        <v>21005.42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3409</v>
      </c>
      <c r="D15" s="34"/>
      <c r="E15" s="35" t="s">
        <v>10</v>
      </c>
      <c r="F15" s="34"/>
      <c r="G15" s="42">
        <v>2985.98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5811</v>
      </c>
      <c r="D17" s="34"/>
      <c r="E17" s="35" t="s">
        <v>278</v>
      </c>
      <c r="F17" s="34"/>
      <c r="G17" s="42">
        <v>4020.29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3" activePane="bottomLeft" state="frozen"/>
      <selection pane="bottomLeft" activeCell="A41" sqref="A41:XFD41"/>
    </sheetView>
  </sheetViews>
  <sheetFormatPr defaultRowHeight="15" x14ac:dyDescent="0.25"/>
  <cols>
    <col min="1" max="1" width="37.5703125" style="692" customWidth="1"/>
    <col min="2" max="2" width="13.42578125" style="692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7" style="245" customWidth="1"/>
    <col min="12" max="12" width="17.7109375" style="245" customWidth="1"/>
    <col min="13" max="88" width="9.140625" style="184"/>
    <col min="89" max="16384" width="9.140625" style="147"/>
  </cols>
  <sheetData>
    <row r="1" spans="1:12" s="184" customFormat="1" x14ac:dyDescent="0.25">
      <c r="A1" s="693" t="s">
        <v>0</v>
      </c>
      <c r="B1" s="682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199" customFormat="1" x14ac:dyDescent="0.25">
      <c r="A2" s="694" t="s">
        <v>437</v>
      </c>
      <c r="B2" s="683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12" s="148" customFormat="1" x14ac:dyDescent="0.25">
      <c r="A3" s="700" t="s">
        <v>339</v>
      </c>
      <c r="B3" s="721">
        <v>3038136345</v>
      </c>
      <c r="C3" s="256" t="s">
        <v>1141</v>
      </c>
      <c r="D3" s="257"/>
      <c r="E3" s="258"/>
      <c r="F3" s="586">
        <v>925.15</v>
      </c>
      <c r="G3" s="258">
        <v>1285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699" t="s">
        <v>13</v>
      </c>
      <c r="B4" s="688">
        <v>3026210376</v>
      </c>
      <c r="C4" s="262" t="s">
        <v>1142</v>
      </c>
      <c r="D4" s="263"/>
      <c r="E4" s="264"/>
      <c r="F4" s="583">
        <v>135.58000000000001</v>
      </c>
      <c r="G4" s="264">
        <v>130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720" t="s">
        <v>34</v>
      </c>
      <c r="B5" s="721">
        <v>3039472917</v>
      </c>
      <c r="C5" s="256" t="s">
        <v>1140</v>
      </c>
      <c r="D5" s="257"/>
      <c r="E5" s="258"/>
      <c r="F5" s="586">
        <v>236.92</v>
      </c>
      <c r="G5" s="258">
        <v>283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699" t="s">
        <v>37</v>
      </c>
      <c r="B6" s="688">
        <v>4005211270</v>
      </c>
      <c r="C6" s="262" t="s">
        <v>1144</v>
      </c>
      <c r="D6" s="263"/>
      <c r="E6" s="264"/>
      <c r="F6" s="583">
        <v>225.99</v>
      </c>
      <c r="G6" s="264">
        <v>260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699" t="s">
        <v>41</v>
      </c>
      <c r="B7" s="688">
        <v>3044004323</v>
      </c>
      <c r="C7" s="262" t="s">
        <v>1139</v>
      </c>
      <c r="D7" s="263"/>
      <c r="E7" s="264"/>
      <c r="F7" s="583">
        <v>113.17</v>
      </c>
      <c r="G7" s="264">
        <v>86</v>
      </c>
      <c r="H7" s="263"/>
      <c r="I7" s="264"/>
      <c r="J7" s="262" t="s">
        <v>10</v>
      </c>
      <c r="K7" s="262"/>
      <c r="L7" s="262"/>
    </row>
    <row r="8" spans="1:12" s="184" customFormat="1" ht="24" customHeight="1" x14ac:dyDescent="0.25">
      <c r="A8" s="695" t="s">
        <v>42</v>
      </c>
      <c r="B8" s="681">
        <v>3029257704</v>
      </c>
      <c r="C8" s="245"/>
      <c r="D8" s="269"/>
      <c r="E8" s="270"/>
      <c r="F8" s="544"/>
      <c r="G8" s="270"/>
      <c r="H8" s="269"/>
      <c r="I8" s="270"/>
      <c r="J8" s="245" t="s">
        <v>10</v>
      </c>
      <c r="K8" s="245"/>
      <c r="L8" s="245"/>
    </row>
    <row r="9" spans="1:12" s="149" customFormat="1" x14ac:dyDescent="0.25">
      <c r="A9" s="699" t="s">
        <v>44</v>
      </c>
      <c r="B9" s="688">
        <v>3039640691</v>
      </c>
      <c r="C9" s="262" t="s">
        <v>1143</v>
      </c>
      <c r="D9" s="263"/>
      <c r="E9" s="264"/>
      <c r="F9" s="583">
        <v>381.61</v>
      </c>
      <c r="G9" s="264">
        <v>481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699" t="s">
        <v>43</v>
      </c>
      <c r="B10" s="688">
        <v>3039782225</v>
      </c>
      <c r="C10" s="262" t="s">
        <v>1143</v>
      </c>
      <c r="D10" s="263"/>
      <c r="E10" s="264"/>
      <c r="F10" s="583">
        <v>173.46</v>
      </c>
      <c r="G10" s="264">
        <v>184</v>
      </c>
      <c r="H10" s="263"/>
      <c r="I10" s="264"/>
      <c r="J10" s="262" t="s">
        <v>10</v>
      </c>
      <c r="K10" s="262"/>
      <c r="L10" s="262"/>
    </row>
    <row r="11" spans="1:12" s="184" customFormat="1" x14ac:dyDescent="0.25">
      <c r="A11" s="695" t="s">
        <v>610</v>
      </c>
      <c r="B11" s="681">
        <v>3039618715</v>
      </c>
      <c r="C11" s="363" t="s">
        <v>1157</v>
      </c>
      <c r="D11" s="269"/>
      <c r="E11" s="270"/>
      <c r="F11" s="544">
        <v>56.13</v>
      </c>
      <c r="G11" s="270">
        <v>0</v>
      </c>
      <c r="H11" s="269"/>
      <c r="I11" s="270"/>
      <c r="J11" s="245" t="s">
        <v>10</v>
      </c>
      <c r="K11" s="245"/>
      <c r="L11" s="245"/>
    </row>
    <row r="12" spans="1:12" s="149" customFormat="1" x14ac:dyDescent="0.25">
      <c r="A12" s="699" t="s">
        <v>46</v>
      </c>
      <c r="B12" s="688">
        <v>3023189549</v>
      </c>
      <c r="C12" s="262" t="s">
        <v>1142</v>
      </c>
      <c r="D12" s="263"/>
      <c r="E12" s="264"/>
      <c r="F12" s="583">
        <v>44.51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699" t="s">
        <v>47</v>
      </c>
      <c r="B13" s="688">
        <v>3034878837</v>
      </c>
      <c r="C13" s="262" t="s">
        <v>1142</v>
      </c>
      <c r="D13" s="263"/>
      <c r="E13" s="264"/>
      <c r="F13" s="583">
        <v>264.48</v>
      </c>
      <c r="G13" s="264">
        <v>314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699" t="s">
        <v>64</v>
      </c>
      <c r="B14" s="688">
        <v>3025670416</v>
      </c>
      <c r="C14" s="262" t="s">
        <v>1147</v>
      </c>
      <c r="D14" s="263"/>
      <c r="E14" s="264"/>
      <c r="F14" s="583">
        <v>68.23</v>
      </c>
      <c r="G14" s="264">
        <v>34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699" t="s">
        <v>65</v>
      </c>
      <c r="B15" s="688">
        <v>3023110891</v>
      </c>
      <c r="C15" s="262" t="s">
        <v>1142</v>
      </c>
      <c r="D15" s="263"/>
      <c r="E15" s="264"/>
      <c r="F15" s="583">
        <v>259.57</v>
      </c>
      <c r="G15" s="264">
        <v>307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699" t="s">
        <v>69</v>
      </c>
      <c r="B16" s="688">
        <v>3022125574</v>
      </c>
      <c r="C16" s="262" t="s">
        <v>1147</v>
      </c>
      <c r="D16" s="263"/>
      <c r="E16" s="264"/>
      <c r="F16" s="583">
        <v>51.23</v>
      </c>
      <c r="G16" s="264">
        <v>9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699" t="s">
        <v>68</v>
      </c>
      <c r="B17" s="688">
        <v>3022125841</v>
      </c>
      <c r="C17" s="266" t="s">
        <v>1147</v>
      </c>
      <c r="D17" s="263"/>
      <c r="E17" s="264"/>
      <c r="F17" s="583">
        <v>49.95</v>
      </c>
      <c r="G17" s="264">
        <v>36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696" t="s">
        <v>755</v>
      </c>
      <c r="B18" s="684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685" t="s">
        <v>756</v>
      </c>
      <c r="B19" s="685">
        <v>5217000077</v>
      </c>
      <c r="C19" s="563" t="s">
        <v>1135</v>
      </c>
      <c r="D19" s="572">
        <v>28.7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685" t="s">
        <v>831</v>
      </c>
      <c r="B20" s="685">
        <v>5216006440</v>
      </c>
      <c r="C20" s="563" t="s">
        <v>1135</v>
      </c>
      <c r="D20" s="572">
        <v>193.65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685" t="s">
        <v>830</v>
      </c>
      <c r="B21" s="685">
        <v>5216006441</v>
      </c>
      <c r="C21" s="563" t="s">
        <v>1135</v>
      </c>
      <c r="D21" s="572">
        <v>756.38</v>
      </c>
      <c r="E21" s="564">
        <v>4400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685" t="s">
        <v>855</v>
      </c>
      <c r="B22" s="685">
        <v>5216006442</v>
      </c>
      <c r="C22" s="563" t="s">
        <v>1151</v>
      </c>
      <c r="D22" s="572">
        <v>62.59</v>
      </c>
      <c r="E22" s="564">
        <v>734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685" t="s">
        <v>828</v>
      </c>
      <c r="B23" s="685">
        <v>5216006443</v>
      </c>
      <c r="C23" s="563" t="s">
        <v>1135</v>
      </c>
      <c r="D23" s="572">
        <v>15.41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685" t="s">
        <v>873</v>
      </c>
      <c r="B24" s="685">
        <v>5216006444</v>
      </c>
      <c r="C24" s="563" t="s">
        <v>1152</v>
      </c>
      <c r="D24" s="572">
        <v>90.81</v>
      </c>
      <c r="E24" s="564">
        <v>1169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730" t="s">
        <v>1028</v>
      </c>
      <c r="B25" s="685">
        <v>5216006446</v>
      </c>
      <c r="C25" s="563" t="s">
        <v>1152</v>
      </c>
      <c r="D25" s="572">
        <v>4513.99</v>
      </c>
      <c r="E25" s="564">
        <v>759000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685" t="s">
        <v>871</v>
      </c>
      <c r="B26" s="685">
        <v>5216006447</v>
      </c>
      <c r="C26" s="563" t="s">
        <v>1135</v>
      </c>
      <c r="D26" s="572">
        <v>439.4</v>
      </c>
      <c r="E26" s="564">
        <v>1826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685" t="s">
        <v>854</v>
      </c>
      <c r="B27" s="685">
        <v>5216006448</v>
      </c>
      <c r="C27" s="563" t="s">
        <v>1152</v>
      </c>
      <c r="D27" s="572">
        <v>432.18</v>
      </c>
      <c r="E27" s="564">
        <v>600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685" t="s">
        <v>853</v>
      </c>
      <c r="B28" s="685">
        <v>5216006449</v>
      </c>
      <c r="C28" s="563" t="s">
        <v>1154</v>
      </c>
      <c r="D28" s="572">
        <v>402.48</v>
      </c>
      <c r="E28" s="564">
        <v>4160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685" t="s">
        <v>859</v>
      </c>
      <c r="B29" s="685">
        <v>5216006450</v>
      </c>
      <c r="C29" s="563" t="s">
        <v>1135</v>
      </c>
      <c r="D29" s="572">
        <v>426.6</v>
      </c>
      <c r="E29" s="564">
        <v>5080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685" t="s">
        <v>849</v>
      </c>
      <c r="B30" s="685">
        <v>5216006451</v>
      </c>
      <c r="C30" s="563" t="s">
        <v>1154</v>
      </c>
      <c r="D30" s="572">
        <v>773.29</v>
      </c>
      <c r="E30" s="564">
        <v>11582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7.25" customHeight="1" x14ac:dyDescent="0.25">
      <c r="A31" s="697" t="s">
        <v>856</v>
      </c>
      <c r="B31" s="685">
        <v>5216006452</v>
      </c>
      <c r="C31" s="563" t="s">
        <v>1135</v>
      </c>
      <c r="D31" s="572">
        <v>977.25</v>
      </c>
      <c r="E31" s="564">
        <v>11940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27.75" customHeight="1" x14ac:dyDescent="0.25">
      <c r="A32" s="685" t="s">
        <v>872</v>
      </c>
      <c r="B32" s="685">
        <v>5216006453</v>
      </c>
      <c r="C32" s="563" t="s">
        <v>1135</v>
      </c>
      <c r="D32" s="572">
        <v>13.74</v>
      </c>
      <c r="E32" s="564">
        <v>8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27.75" customHeight="1" x14ac:dyDescent="0.25">
      <c r="A33" s="685" t="s">
        <v>1150</v>
      </c>
      <c r="B33" s="685">
        <v>5216006455</v>
      </c>
      <c r="C33" s="563" t="s">
        <v>1147</v>
      </c>
      <c r="D33" s="572">
        <v>21.61</v>
      </c>
      <c r="E33" s="564">
        <v>150</v>
      </c>
      <c r="F33" s="604"/>
      <c r="G33" s="564"/>
      <c r="H33" s="572"/>
      <c r="I33" s="564"/>
      <c r="J33" s="563"/>
      <c r="K33" s="563"/>
      <c r="L33" s="563"/>
    </row>
    <row r="34" spans="1:12" s="565" customFormat="1" ht="21" customHeight="1" x14ac:dyDescent="0.25">
      <c r="A34" s="685" t="s">
        <v>858</v>
      </c>
      <c r="B34" s="685">
        <v>5216006454</v>
      </c>
      <c r="C34" s="563" t="s">
        <v>1135</v>
      </c>
      <c r="D34" s="572">
        <v>21.5</v>
      </c>
      <c r="E34" s="564">
        <v>150</v>
      </c>
      <c r="F34" s="604"/>
      <c r="G34" s="564"/>
      <c r="H34" s="572"/>
      <c r="I34" s="564"/>
      <c r="J34" s="563"/>
      <c r="K34" s="563" t="s">
        <v>791</v>
      </c>
      <c r="L34" s="563">
        <v>5216006454</v>
      </c>
    </row>
    <row r="35" spans="1:12" s="565" customFormat="1" ht="21" customHeight="1" x14ac:dyDescent="0.25">
      <c r="A35" s="685" t="s">
        <v>870</v>
      </c>
      <c r="B35" s="685">
        <v>5216006456</v>
      </c>
      <c r="C35" s="563" t="s">
        <v>1134</v>
      </c>
      <c r="D35" s="572">
        <v>185.93</v>
      </c>
      <c r="E35" s="564">
        <v>796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685" t="s">
        <v>851</v>
      </c>
      <c r="B36" s="685">
        <v>5216006457</v>
      </c>
      <c r="C36" s="563" t="s">
        <v>1134</v>
      </c>
      <c r="D36" s="572">
        <v>36.71</v>
      </c>
      <c r="E36" s="564">
        <v>357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685" t="s">
        <v>829</v>
      </c>
      <c r="B37" s="685">
        <v>5216006458</v>
      </c>
      <c r="C37" s="563" t="s">
        <v>1152</v>
      </c>
      <c r="D37" s="572">
        <v>316.83999999999997</v>
      </c>
      <c r="E37" s="564">
        <v>3043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685" t="s">
        <v>850</v>
      </c>
      <c r="B38" s="685">
        <v>5216006459</v>
      </c>
      <c r="C38" s="563" t="s">
        <v>1154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685" t="s">
        <v>848</v>
      </c>
      <c r="B39" s="685">
        <v>5216006460</v>
      </c>
      <c r="C39" s="563" t="s">
        <v>1134</v>
      </c>
      <c r="D39" s="572">
        <v>22.34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685" t="s">
        <v>874</v>
      </c>
      <c r="B40" s="685">
        <v>5216006461</v>
      </c>
      <c r="C40" s="563" t="s">
        <v>1147</v>
      </c>
      <c r="D40" s="572">
        <v>102.47</v>
      </c>
      <c r="E40" s="564">
        <v>1337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685" t="s">
        <v>847</v>
      </c>
      <c r="B41" s="685">
        <v>5216007172</v>
      </c>
      <c r="C41" s="563" t="s">
        <v>1154</v>
      </c>
      <c r="D41" s="572">
        <v>27.12</v>
      </c>
      <c r="E41" s="564">
        <v>160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685" t="s">
        <v>836</v>
      </c>
      <c r="B42" s="685">
        <v>5216006464</v>
      </c>
      <c r="C42" s="563" t="s">
        <v>1134</v>
      </c>
      <c r="D42" s="572">
        <v>15.42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685" t="s">
        <v>837</v>
      </c>
      <c r="B43" s="685">
        <v>5216006465</v>
      </c>
      <c r="C43" s="563" t="s">
        <v>1134</v>
      </c>
      <c r="D43" s="572">
        <v>18.510000000000002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685" t="s">
        <v>869</v>
      </c>
      <c r="B44" s="685">
        <v>5216006466</v>
      </c>
      <c r="C44" s="563" t="s">
        <v>1152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685" t="s">
        <v>868</v>
      </c>
      <c r="B45" s="685">
        <v>5216006467</v>
      </c>
      <c r="C45" s="563" t="s">
        <v>1134</v>
      </c>
      <c r="D45" s="572">
        <v>228.14</v>
      </c>
      <c r="E45" s="564">
        <v>1567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685" t="s">
        <v>832</v>
      </c>
      <c r="B46" s="685">
        <v>5216006468</v>
      </c>
      <c r="C46" s="563" t="s">
        <v>1135</v>
      </c>
      <c r="D46" s="572">
        <v>325.98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685" t="s">
        <v>833</v>
      </c>
      <c r="B47" s="685">
        <v>5216006469</v>
      </c>
      <c r="C47" s="563" t="s">
        <v>1135</v>
      </c>
      <c r="D47" s="572">
        <v>245.26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685" t="s">
        <v>976</v>
      </c>
      <c r="B48" s="685">
        <v>5216006470</v>
      </c>
      <c r="C48" s="563" t="s">
        <v>1135</v>
      </c>
      <c r="D48" s="572">
        <v>1032.99</v>
      </c>
      <c r="E48" s="564">
        <v>11460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685" t="s">
        <v>852</v>
      </c>
      <c r="B49" s="685">
        <v>5216006471</v>
      </c>
      <c r="C49" s="563" t="s">
        <v>1134</v>
      </c>
      <c r="D49" s="572">
        <v>22.33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685" t="s">
        <v>867</v>
      </c>
      <c r="B50" s="685">
        <v>5216006472</v>
      </c>
      <c r="C50" s="563" t="s">
        <v>1151</v>
      </c>
      <c r="D50" s="572">
        <v>16.72</v>
      </c>
      <c r="E50" s="564">
        <v>52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685" t="s">
        <v>840</v>
      </c>
      <c r="B51" s="685">
        <v>5216006473</v>
      </c>
      <c r="C51" s="563" t="s">
        <v>1147</v>
      </c>
      <c r="D51" s="572">
        <v>112.95</v>
      </c>
      <c r="E51" s="564">
        <v>1306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685" t="s">
        <v>839</v>
      </c>
      <c r="B52" s="685">
        <v>5216006474</v>
      </c>
      <c r="C52" s="563" t="s">
        <v>1134</v>
      </c>
      <c r="D52" s="572">
        <v>77.319999999999993</v>
      </c>
      <c r="E52" s="564">
        <v>974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685" t="s">
        <v>841</v>
      </c>
      <c r="B53" s="685">
        <v>5216006475</v>
      </c>
      <c r="C53" s="563" t="s">
        <v>1135</v>
      </c>
      <c r="D53" s="572">
        <v>21.5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685" t="s">
        <v>845</v>
      </c>
      <c r="B55" s="685">
        <v>5216006477</v>
      </c>
      <c r="C55" s="563" t="s">
        <v>1154</v>
      </c>
      <c r="D55" s="572">
        <v>47.4</v>
      </c>
      <c r="E55" s="564">
        <v>51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685" t="s">
        <v>866</v>
      </c>
      <c r="B56" s="685">
        <v>5216006478</v>
      </c>
      <c r="C56" s="563" t="s">
        <v>1155</v>
      </c>
      <c r="D56" s="572">
        <v>59.34</v>
      </c>
      <c r="E56" s="564">
        <v>682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685" t="s">
        <v>844</v>
      </c>
      <c r="B57" s="685">
        <v>5216006479</v>
      </c>
      <c r="C57" s="563" t="s">
        <v>1151</v>
      </c>
      <c r="D57" s="572">
        <v>107.49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685" t="s">
        <v>877</v>
      </c>
      <c r="B58" s="685">
        <v>5216006481</v>
      </c>
      <c r="C58" s="563" t="s">
        <v>1134</v>
      </c>
      <c r="D58" s="572">
        <v>673.29</v>
      </c>
      <c r="E58" s="564">
        <v>8520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685" t="s">
        <v>865</v>
      </c>
      <c r="B59" s="685">
        <v>5216006482</v>
      </c>
      <c r="C59" s="563" t="s">
        <v>1154</v>
      </c>
      <c r="D59" s="572">
        <v>172.94</v>
      </c>
      <c r="E59" s="564">
        <v>1351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685" t="s">
        <v>860</v>
      </c>
      <c r="B60" s="685">
        <v>5216006483</v>
      </c>
      <c r="C60" s="563" t="s">
        <v>1147</v>
      </c>
      <c r="D60" s="572">
        <v>27.65</v>
      </c>
      <c r="E60" s="564">
        <v>216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685" t="s">
        <v>864</v>
      </c>
      <c r="B61" s="685">
        <v>5216006484</v>
      </c>
      <c r="C61" s="563" t="s">
        <v>1134</v>
      </c>
      <c r="D61" s="572">
        <v>96.26</v>
      </c>
      <c r="E61" s="564">
        <v>1262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685" t="s">
        <v>861</v>
      </c>
      <c r="B62" s="685">
        <v>5216006485</v>
      </c>
      <c r="C62" s="563" t="s">
        <v>1134</v>
      </c>
      <c r="D62" s="572">
        <v>323.95999999999998</v>
      </c>
      <c r="E62" s="564">
        <v>3136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685" t="s">
        <v>935</v>
      </c>
      <c r="B63" s="685">
        <v>5216006486</v>
      </c>
      <c r="C63" s="563" t="s">
        <v>1134</v>
      </c>
      <c r="D63" s="572">
        <v>24.53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685" t="s">
        <v>910</v>
      </c>
      <c r="B64" s="685">
        <v>5216007171</v>
      </c>
      <c r="C64" s="563" t="s">
        <v>1151</v>
      </c>
      <c r="D64" s="572">
        <v>13.22</v>
      </c>
      <c r="E64" s="564">
        <v>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685" t="s">
        <v>862</v>
      </c>
      <c r="B65" s="685">
        <v>5216006487</v>
      </c>
      <c r="C65" s="563" t="s">
        <v>1134</v>
      </c>
      <c r="D65" s="572">
        <v>1034.83</v>
      </c>
      <c r="E65" s="564">
        <v>9300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685" t="s">
        <v>843</v>
      </c>
      <c r="B66" s="685">
        <v>5216006488</v>
      </c>
      <c r="C66" s="609" t="s">
        <v>1152</v>
      </c>
      <c r="D66" s="572">
        <v>51.4</v>
      </c>
      <c r="E66" s="564">
        <v>571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685" t="s">
        <v>842</v>
      </c>
      <c r="B67" s="685">
        <v>5216006489</v>
      </c>
      <c r="C67" s="563" t="s">
        <v>1152</v>
      </c>
      <c r="D67" s="572">
        <v>35.76</v>
      </c>
      <c r="E67" s="564">
        <v>337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698" t="s">
        <v>878</v>
      </c>
      <c r="B68" s="687"/>
      <c r="C68" s="249"/>
      <c r="D68" s="250"/>
      <c r="E68" s="251"/>
      <c r="F68" s="543"/>
      <c r="G68" s="251"/>
      <c r="H68" s="250"/>
      <c r="I68" s="251"/>
      <c r="J68" s="249"/>
      <c r="K68" s="249"/>
      <c r="L68" s="249"/>
    </row>
    <row r="69" spans="1:12" s="149" customFormat="1" ht="26.25" x14ac:dyDescent="0.25">
      <c r="A69" s="699" t="s">
        <v>51</v>
      </c>
      <c r="B69" s="734" t="s">
        <v>208</v>
      </c>
      <c r="C69" s="266" t="s">
        <v>1164</v>
      </c>
      <c r="D69" s="263">
        <v>166</v>
      </c>
      <c r="E69" s="264">
        <v>1496</v>
      </c>
      <c r="F69" s="583"/>
      <c r="G69" s="264"/>
      <c r="H69" s="263"/>
      <c r="I69" s="264"/>
      <c r="J69" s="262" t="s">
        <v>33</v>
      </c>
      <c r="K69" s="262"/>
      <c r="L69" s="262"/>
    </row>
    <row r="70" spans="1:12" s="149" customFormat="1" ht="26.25" x14ac:dyDescent="0.25">
      <c r="A70" s="699" t="s">
        <v>52</v>
      </c>
      <c r="B70" s="734" t="s">
        <v>209</v>
      </c>
      <c r="C70" s="266" t="s">
        <v>1164</v>
      </c>
      <c r="D70" s="263">
        <v>168</v>
      </c>
      <c r="E70" s="264">
        <v>1291</v>
      </c>
      <c r="F70" s="583"/>
      <c r="G70" s="264"/>
      <c r="H70" s="263"/>
      <c r="I70" s="264"/>
      <c r="J70" s="262" t="s">
        <v>33</v>
      </c>
      <c r="K70" s="262"/>
      <c r="L70" s="262"/>
    </row>
    <row r="71" spans="1:12" s="149" customFormat="1" ht="15" customHeight="1" x14ac:dyDescent="0.25">
      <c r="A71" s="699" t="s">
        <v>54</v>
      </c>
      <c r="B71" s="734">
        <v>7039100</v>
      </c>
      <c r="C71" s="266" t="s">
        <v>1164</v>
      </c>
      <c r="D71" s="263">
        <v>92</v>
      </c>
      <c r="E71" s="264">
        <v>453</v>
      </c>
      <c r="F71" s="583"/>
      <c r="G71" s="264"/>
      <c r="H71" s="263"/>
      <c r="I71" s="264"/>
      <c r="J71" s="262" t="s">
        <v>33</v>
      </c>
      <c r="K71" s="262"/>
      <c r="L71" s="262"/>
    </row>
    <row r="72" spans="1:12" s="149" customFormat="1" hidden="1" x14ac:dyDescent="0.25">
      <c r="A72" s="699" t="s">
        <v>55</v>
      </c>
      <c r="B72" s="734" t="s">
        <v>212</v>
      </c>
      <c r="C72" s="266" t="s">
        <v>1164</v>
      </c>
      <c r="D72" s="263">
        <v>40</v>
      </c>
      <c r="E72" s="264">
        <v>104</v>
      </c>
      <c r="F72" s="583"/>
      <c r="G72" s="264"/>
      <c r="H72" s="263"/>
      <c r="I72" s="264"/>
      <c r="J72" s="262" t="s">
        <v>33</v>
      </c>
      <c r="K72" s="262"/>
      <c r="L72" s="262"/>
    </row>
    <row r="73" spans="1:12" s="149" customFormat="1" x14ac:dyDescent="0.25">
      <c r="A73" s="699" t="s">
        <v>56</v>
      </c>
      <c r="B73" s="734" t="s">
        <v>213</v>
      </c>
      <c r="C73" s="266" t="s">
        <v>1164</v>
      </c>
      <c r="D73" s="263">
        <v>41</v>
      </c>
      <c r="E73" s="264">
        <v>119</v>
      </c>
      <c r="F73" s="583"/>
      <c r="G73" s="264"/>
      <c r="H73" s="263"/>
      <c r="I73" s="264"/>
      <c r="J73" s="262" t="s">
        <v>33</v>
      </c>
      <c r="K73" s="262"/>
      <c r="L73" s="262"/>
    </row>
    <row r="74" spans="1:12" s="149" customFormat="1" ht="26.25" x14ac:dyDescent="0.25">
      <c r="A74" s="699" t="s">
        <v>57</v>
      </c>
      <c r="B74" s="734" t="s">
        <v>214</v>
      </c>
      <c r="C74" s="266" t="s">
        <v>1164</v>
      </c>
      <c r="D74" s="263">
        <v>249</v>
      </c>
      <c r="E74" s="264">
        <v>2188</v>
      </c>
      <c r="F74" s="583"/>
      <c r="G74" s="264"/>
      <c r="H74" s="263"/>
      <c r="I74" s="264"/>
      <c r="J74" s="262" t="s">
        <v>33</v>
      </c>
      <c r="K74" s="262"/>
      <c r="L74" s="262"/>
    </row>
    <row r="75" spans="1:12" s="149" customFormat="1" x14ac:dyDescent="0.25">
      <c r="A75" s="699" t="s">
        <v>58</v>
      </c>
      <c r="B75" s="734" t="s">
        <v>215</v>
      </c>
      <c r="C75" s="266" t="s">
        <v>1164</v>
      </c>
      <c r="D75" s="263">
        <v>92</v>
      </c>
      <c r="E75" s="264">
        <v>774</v>
      </c>
      <c r="F75" s="583"/>
      <c r="G75" s="264"/>
      <c r="H75" s="263"/>
      <c r="I75" s="264"/>
      <c r="J75" s="262" t="s">
        <v>33</v>
      </c>
      <c r="K75" s="262"/>
      <c r="L75" s="262"/>
    </row>
    <row r="76" spans="1:12" s="149" customFormat="1" x14ac:dyDescent="0.25">
      <c r="A76" s="699" t="s">
        <v>770</v>
      </c>
      <c r="B76" s="734" t="s">
        <v>216</v>
      </c>
      <c r="C76" s="266" t="s">
        <v>1164</v>
      </c>
      <c r="D76" s="263">
        <v>63</v>
      </c>
      <c r="E76" s="264">
        <v>359</v>
      </c>
      <c r="F76" s="583"/>
      <c r="G76" s="264"/>
      <c r="H76" s="263"/>
      <c r="I76" s="264"/>
      <c r="J76" s="262" t="s">
        <v>33</v>
      </c>
      <c r="K76" s="262"/>
      <c r="L76" s="262"/>
    </row>
    <row r="77" spans="1:12" s="149" customFormat="1" x14ac:dyDescent="0.25">
      <c r="A77" s="699" t="s">
        <v>60</v>
      </c>
      <c r="B77" s="734" t="s">
        <v>217</v>
      </c>
      <c r="C77" s="266" t="s">
        <v>1164</v>
      </c>
      <c r="D77" s="263">
        <v>57</v>
      </c>
      <c r="E77" s="264">
        <v>67</v>
      </c>
      <c r="F77" s="583"/>
      <c r="G77" s="264"/>
      <c r="H77" s="263"/>
      <c r="I77" s="264"/>
      <c r="J77" s="262" t="s">
        <v>33</v>
      </c>
      <c r="K77" s="262"/>
      <c r="L77" s="262"/>
    </row>
    <row r="78" spans="1:12" s="149" customFormat="1" x14ac:dyDescent="0.25">
      <c r="A78" s="699" t="s">
        <v>61</v>
      </c>
      <c r="B78" s="734" t="s">
        <v>218</v>
      </c>
      <c r="C78" s="266" t="s">
        <v>1164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2"/>
      <c r="L78" s="262"/>
    </row>
    <row r="79" spans="1:12" s="149" customFormat="1" x14ac:dyDescent="0.25">
      <c r="A79" s="699" t="s">
        <v>62</v>
      </c>
      <c r="B79" s="734" t="s">
        <v>219</v>
      </c>
      <c r="C79" s="266" t="s">
        <v>1164</v>
      </c>
      <c r="D79" s="263">
        <v>53</v>
      </c>
      <c r="E79" s="264">
        <v>246</v>
      </c>
      <c r="F79" s="583"/>
      <c r="G79" s="264"/>
      <c r="H79" s="263"/>
      <c r="I79" s="264"/>
      <c r="J79" s="262" t="s">
        <v>33</v>
      </c>
      <c r="K79" s="262"/>
      <c r="L79" s="262"/>
    </row>
    <row r="80" spans="1:12" s="149" customFormat="1" x14ac:dyDescent="0.25">
      <c r="A80" s="699" t="s">
        <v>771</v>
      </c>
      <c r="B80" s="734">
        <v>1402294701</v>
      </c>
      <c r="C80" s="266" t="s">
        <v>1164</v>
      </c>
      <c r="D80" s="263">
        <v>130.69</v>
      </c>
      <c r="E80" s="264">
        <v>890</v>
      </c>
      <c r="F80" s="583"/>
      <c r="G80" s="264"/>
      <c r="H80" s="263"/>
      <c r="I80" s="264"/>
      <c r="J80" s="262"/>
      <c r="K80" s="262"/>
      <c r="L80" s="262"/>
    </row>
    <row r="81" spans="1:12" s="148" customFormat="1" x14ac:dyDescent="0.25">
      <c r="A81" s="720" t="s">
        <v>621</v>
      </c>
      <c r="B81" s="735" t="s">
        <v>201</v>
      </c>
      <c r="C81" s="738" t="s">
        <v>1164</v>
      </c>
      <c r="D81" s="257">
        <v>64</v>
      </c>
      <c r="E81" s="258">
        <v>193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699" t="s">
        <v>768</v>
      </c>
      <c r="B82" s="734" t="s">
        <v>202</v>
      </c>
      <c r="C82" s="266" t="s">
        <v>1164</v>
      </c>
      <c r="D82" s="263">
        <v>1374</v>
      </c>
      <c r="E82" s="264">
        <v>10320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699" t="s">
        <v>96</v>
      </c>
      <c r="B83" s="734">
        <v>7815400</v>
      </c>
      <c r="C83" s="262" t="s">
        <v>1164</v>
      </c>
      <c r="D83" s="263">
        <v>152</v>
      </c>
      <c r="E83" s="264">
        <v>1256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699" t="s">
        <v>97</v>
      </c>
      <c r="B84" s="734" t="s">
        <v>204</v>
      </c>
      <c r="C84" s="262" t="s">
        <v>1164</v>
      </c>
      <c r="D84" s="263">
        <v>56</v>
      </c>
      <c r="E84" s="264">
        <v>0.72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699" t="s">
        <v>98</v>
      </c>
      <c r="B85" s="734" t="s">
        <v>205</v>
      </c>
      <c r="C85" s="262" t="s">
        <v>1164</v>
      </c>
      <c r="D85" s="263">
        <v>31</v>
      </c>
      <c r="E85" s="264">
        <v>0.06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699" t="s">
        <v>769</v>
      </c>
      <c r="B86" s="734" t="s">
        <v>206</v>
      </c>
      <c r="C86" s="262" t="s">
        <v>1164</v>
      </c>
      <c r="D86" s="263">
        <v>155</v>
      </c>
      <c r="E86" s="264">
        <v>1288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699" t="s">
        <v>100</v>
      </c>
      <c r="B87" s="739">
        <v>1323346600</v>
      </c>
      <c r="C87" s="262" t="s">
        <v>1164</v>
      </c>
      <c r="D87" s="263">
        <v>304</v>
      </c>
      <c r="E87" s="264">
        <v>1800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699" t="s">
        <v>101</v>
      </c>
      <c r="B88" s="726">
        <v>1322699400</v>
      </c>
      <c r="C88" s="266" t="s">
        <v>1144</v>
      </c>
      <c r="D88" s="263">
        <v>541</v>
      </c>
      <c r="E88" s="264">
        <v>5040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700" t="s">
        <v>772</v>
      </c>
      <c r="B89" s="725" t="s">
        <v>200</v>
      </c>
      <c r="C89" s="348" t="s">
        <v>1145</v>
      </c>
      <c r="D89" s="349">
        <v>269</v>
      </c>
      <c r="E89" s="350">
        <v>17.38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699" t="s">
        <v>110</v>
      </c>
      <c r="B90" s="688" t="s">
        <v>207</v>
      </c>
      <c r="C90" s="262" t="s">
        <v>1143</v>
      </c>
      <c r="D90" s="263">
        <v>80</v>
      </c>
      <c r="E90" s="264">
        <v>332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84" customFormat="1" x14ac:dyDescent="0.25">
      <c r="A91" s="695" t="s">
        <v>111</v>
      </c>
      <c r="B91" s="681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</row>
    <row r="92" spans="1:12" s="149" customFormat="1" ht="15.75" customHeight="1" x14ac:dyDescent="0.25">
      <c r="A92" s="699" t="s">
        <v>117</v>
      </c>
      <c r="B92" s="688" t="s">
        <v>220</v>
      </c>
      <c r="C92" s="262" t="s">
        <v>1144</v>
      </c>
      <c r="D92" s="263">
        <v>86</v>
      </c>
      <c r="E92" s="264">
        <v>410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699" t="s">
        <v>118</v>
      </c>
      <c r="B93" s="688" t="s">
        <v>221</v>
      </c>
      <c r="C93" s="266" t="s">
        <v>1144</v>
      </c>
      <c r="D93" s="263">
        <v>114</v>
      </c>
      <c r="E93" s="264">
        <v>921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699" t="s">
        <v>701</v>
      </c>
      <c r="B94" s="688">
        <v>1323115001</v>
      </c>
      <c r="C94" s="266" t="s">
        <v>1144</v>
      </c>
      <c r="D94" s="263">
        <v>1455</v>
      </c>
      <c r="E94" s="264">
        <v>16560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699" t="s">
        <v>683</v>
      </c>
      <c r="B95" s="688">
        <v>1322673502</v>
      </c>
      <c r="C95" s="266" t="s">
        <v>1144</v>
      </c>
      <c r="D95" s="263">
        <v>50</v>
      </c>
      <c r="E95" s="264">
        <v>50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699" t="s">
        <v>702</v>
      </c>
      <c r="B96" s="688">
        <v>1322725900</v>
      </c>
      <c r="C96" s="266" t="s">
        <v>1144</v>
      </c>
      <c r="D96" s="263">
        <v>424</v>
      </c>
      <c r="E96" s="264">
        <v>2760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698" t="s">
        <v>434</v>
      </c>
      <c r="B97" s="687"/>
      <c r="C97" s="249"/>
      <c r="D97" s="250"/>
      <c r="E97" s="251"/>
      <c r="F97" s="543"/>
      <c r="G97" s="251"/>
      <c r="H97" s="250"/>
      <c r="I97" s="251"/>
      <c r="J97" s="249"/>
      <c r="K97" s="249"/>
      <c r="L97" s="249"/>
    </row>
    <row r="98" spans="1:12" s="149" customFormat="1" x14ac:dyDescent="0.25">
      <c r="A98" s="699" t="s">
        <v>65</v>
      </c>
      <c r="B98" s="688" t="s">
        <v>163</v>
      </c>
      <c r="C98" s="262" t="s">
        <v>1148</v>
      </c>
      <c r="D98" s="263"/>
      <c r="E98" s="264"/>
      <c r="F98" s="583"/>
      <c r="G98" s="264"/>
      <c r="H98" s="263">
        <v>152.31</v>
      </c>
      <c r="I98" s="264">
        <v>217</v>
      </c>
      <c r="J98" s="262"/>
      <c r="K98" s="262"/>
      <c r="L98" s="262"/>
    </row>
    <row r="99" spans="1:12" s="149" customFormat="1" x14ac:dyDescent="0.25">
      <c r="A99" s="699" t="s">
        <v>37</v>
      </c>
      <c r="B99" s="688" t="s">
        <v>190</v>
      </c>
      <c r="C99" s="266" t="s">
        <v>1148</v>
      </c>
      <c r="D99" s="263"/>
      <c r="E99" s="264"/>
      <c r="F99" s="583"/>
      <c r="G99" s="264"/>
      <c r="H99" s="263">
        <v>155.56</v>
      </c>
      <c r="I99" s="264">
        <v>222</v>
      </c>
      <c r="J99" s="262"/>
      <c r="K99" s="262"/>
      <c r="L99" s="262"/>
    </row>
    <row r="100" spans="1:12" s="149" customFormat="1" x14ac:dyDescent="0.25">
      <c r="A100" s="699" t="s">
        <v>71</v>
      </c>
      <c r="B100" s="688" t="s">
        <v>188</v>
      </c>
      <c r="C100" s="262" t="s">
        <v>1148</v>
      </c>
      <c r="D100" s="263"/>
      <c r="E100" s="264"/>
      <c r="F100" s="583"/>
      <c r="G100" s="264"/>
      <c r="H100" s="263">
        <v>33.659999999999997</v>
      </c>
      <c r="I100" s="264">
        <v>15</v>
      </c>
      <c r="J100" s="262"/>
      <c r="K100" s="262"/>
      <c r="L100" s="262"/>
    </row>
    <row r="101" spans="1:12" s="149" customFormat="1" ht="12.75" customHeight="1" x14ac:dyDescent="0.25">
      <c r="A101" s="699" t="s">
        <v>72</v>
      </c>
      <c r="B101" s="688" t="s">
        <v>187</v>
      </c>
      <c r="C101" s="262" t="s">
        <v>1148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hidden="1" x14ac:dyDescent="0.25">
      <c r="A102" s="699" t="s">
        <v>73</v>
      </c>
      <c r="B102" s="688" t="s">
        <v>171</v>
      </c>
      <c r="C102" s="262" t="s">
        <v>1148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699" t="s">
        <v>74</v>
      </c>
      <c r="B103" s="688" t="s">
        <v>170</v>
      </c>
      <c r="C103" s="262" t="s">
        <v>1148</v>
      </c>
      <c r="D103" s="263"/>
      <c r="E103" s="264"/>
      <c r="F103" s="583"/>
      <c r="G103" s="264"/>
      <c r="H103" s="263">
        <v>33.659999999999997</v>
      </c>
      <c r="I103" s="264">
        <v>10</v>
      </c>
      <c r="J103" s="262"/>
      <c r="K103" s="262"/>
      <c r="L103" s="262"/>
    </row>
    <row r="104" spans="1:12" s="149" customFormat="1" x14ac:dyDescent="0.25">
      <c r="A104" s="699" t="s">
        <v>75</v>
      </c>
      <c r="B104" s="688" t="s">
        <v>189</v>
      </c>
      <c r="C104" s="262" t="s">
        <v>1148</v>
      </c>
      <c r="D104" s="263"/>
      <c r="E104" s="264"/>
      <c r="F104" s="583"/>
      <c r="G104" s="264"/>
      <c r="H104" s="263">
        <v>38.47</v>
      </c>
      <c r="I104" s="264">
        <v>29</v>
      </c>
      <c r="J104" s="262"/>
      <c r="K104" s="262"/>
      <c r="L104" s="262"/>
    </row>
    <row r="105" spans="1:12" s="149" customFormat="1" x14ac:dyDescent="0.25">
      <c r="A105" s="699" t="s">
        <v>76</v>
      </c>
      <c r="B105" s="688" t="s">
        <v>169</v>
      </c>
      <c r="C105" s="262" t="s">
        <v>1148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699" t="s">
        <v>77</v>
      </c>
      <c r="B106" s="688" t="s">
        <v>168</v>
      </c>
      <c r="C106" s="262" t="s">
        <v>1148</v>
      </c>
      <c r="D106" s="263"/>
      <c r="E106" s="264"/>
      <c r="F106" s="583"/>
      <c r="G106" s="264"/>
      <c r="H106" s="263">
        <v>224.63</v>
      </c>
      <c r="I106" s="264">
        <v>322</v>
      </c>
      <c r="J106" s="262"/>
      <c r="K106" s="262"/>
      <c r="L106" s="262"/>
    </row>
    <row r="107" spans="1:12" s="149" customFormat="1" x14ac:dyDescent="0.25">
      <c r="A107" s="699" t="s">
        <v>78</v>
      </c>
      <c r="B107" s="688" t="s">
        <v>197</v>
      </c>
      <c r="C107" s="262" t="s">
        <v>1148</v>
      </c>
      <c r="D107" s="263"/>
      <c r="E107" s="264"/>
      <c r="F107" s="583"/>
      <c r="G107" s="264"/>
      <c r="H107" s="263">
        <v>33.659999999999997</v>
      </c>
      <c r="I107" s="264">
        <v>14</v>
      </c>
      <c r="J107" s="262"/>
      <c r="K107" s="262"/>
      <c r="L107" s="262"/>
    </row>
    <row r="108" spans="1:12" s="149" customFormat="1" x14ac:dyDescent="0.25">
      <c r="A108" s="699" t="s">
        <v>79</v>
      </c>
      <c r="B108" s="688" t="s">
        <v>167</v>
      </c>
      <c r="C108" s="266" t="s">
        <v>1148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728" t="s">
        <v>80</v>
      </c>
      <c r="B109" s="729" t="s">
        <v>177</v>
      </c>
      <c r="C109" s="285" t="s">
        <v>1148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699" t="s">
        <v>81</v>
      </c>
      <c r="B110" s="688" t="s">
        <v>180</v>
      </c>
      <c r="C110" s="262" t="s">
        <v>1148</v>
      </c>
      <c r="D110" s="263"/>
      <c r="E110" s="264"/>
      <c r="F110" s="583"/>
      <c r="G110" s="264"/>
      <c r="H110" s="263">
        <v>41.14</v>
      </c>
      <c r="I110" s="264">
        <v>34</v>
      </c>
      <c r="J110" s="262"/>
      <c r="K110" s="262"/>
      <c r="L110" s="262"/>
    </row>
    <row r="111" spans="1:12" s="149" customFormat="1" x14ac:dyDescent="0.25">
      <c r="A111" s="699" t="s">
        <v>82</v>
      </c>
      <c r="B111" s="688" t="s">
        <v>179</v>
      </c>
      <c r="C111" s="262" t="s">
        <v>1148</v>
      </c>
      <c r="D111" s="263"/>
      <c r="E111" s="264"/>
      <c r="F111" s="583"/>
      <c r="G111" s="264"/>
      <c r="H111" s="263">
        <v>37.4</v>
      </c>
      <c r="I111" s="264">
        <v>27</v>
      </c>
      <c r="J111" s="262"/>
      <c r="K111" s="262"/>
      <c r="L111" s="262"/>
    </row>
    <row r="112" spans="1:12" s="149" customFormat="1" x14ac:dyDescent="0.25">
      <c r="A112" s="699" t="s">
        <v>83</v>
      </c>
      <c r="B112" s="688" t="s">
        <v>178</v>
      </c>
      <c r="C112" s="262" t="s">
        <v>1148</v>
      </c>
      <c r="D112" s="263"/>
      <c r="E112" s="264"/>
      <c r="F112" s="583"/>
      <c r="G112" s="264"/>
      <c r="H112" s="263">
        <v>42.74</v>
      </c>
      <c r="I112" s="264">
        <v>37</v>
      </c>
      <c r="J112" s="262"/>
      <c r="K112" s="262"/>
      <c r="L112" s="262"/>
    </row>
    <row r="113" spans="1:12" s="149" customFormat="1" x14ac:dyDescent="0.25">
      <c r="A113" s="699" t="s">
        <v>84</v>
      </c>
      <c r="B113" s="688" t="s">
        <v>175</v>
      </c>
      <c r="C113" s="262" t="s">
        <v>1148</v>
      </c>
      <c r="D113" s="263"/>
      <c r="E113" s="264"/>
      <c r="F113" s="583"/>
      <c r="G113" s="264"/>
      <c r="H113" s="263">
        <v>33.659999999999997</v>
      </c>
      <c r="I113" s="264">
        <v>11</v>
      </c>
      <c r="J113" s="262"/>
      <c r="K113" s="262"/>
      <c r="L113" s="262"/>
    </row>
    <row r="114" spans="1:12" s="149" customFormat="1" x14ac:dyDescent="0.25">
      <c r="A114" s="699" t="s">
        <v>85</v>
      </c>
      <c r="B114" s="688" t="s">
        <v>184</v>
      </c>
      <c r="C114" s="262" t="s">
        <v>1148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699" t="s">
        <v>86</v>
      </c>
      <c r="B115" s="688" t="s">
        <v>185</v>
      </c>
      <c r="C115" s="262" t="s">
        <v>1148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699" t="s">
        <v>87</v>
      </c>
      <c r="B116" s="688" t="s">
        <v>181</v>
      </c>
      <c r="C116" s="262" t="s">
        <v>1148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699" t="s">
        <v>88</v>
      </c>
      <c r="B117" s="688" t="s">
        <v>172</v>
      </c>
      <c r="C117" s="262" t="s">
        <v>1148</v>
      </c>
      <c r="D117" s="263"/>
      <c r="E117" s="264"/>
      <c r="F117" s="583"/>
      <c r="G117" s="264"/>
      <c r="H117" s="263">
        <v>57.16</v>
      </c>
      <c r="I117" s="264">
        <v>64</v>
      </c>
      <c r="J117" s="262"/>
      <c r="K117" s="262"/>
      <c r="L117" s="262"/>
    </row>
    <row r="118" spans="1:12" s="149" customFormat="1" x14ac:dyDescent="0.25">
      <c r="A118" s="699" t="s">
        <v>89</v>
      </c>
      <c r="B118" s="688" t="s">
        <v>173</v>
      </c>
      <c r="C118" s="262" t="s">
        <v>1148</v>
      </c>
      <c r="D118" s="263"/>
      <c r="E118" s="264"/>
      <c r="F118" s="583"/>
      <c r="G118" s="264"/>
      <c r="H118" s="263">
        <v>155.56</v>
      </c>
      <c r="I118" s="264">
        <v>222</v>
      </c>
      <c r="J118" s="262"/>
      <c r="K118" s="262"/>
      <c r="L118" s="262"/>
    </row>
    <row r="119" spans="1:12" s="149" customFormat="1" x14ac:dyDescent="0.25">
      <c r="A119" s="699" t="s">
        <v>90</v>
      </c>
      <c r="B119" s="688" t="s">
        <v>174</v>
      </c>
      <c r="C119" s="262" t="s">
        <v>1148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699" t="s">
        <v>91</v>
      </c>
      <c r="B120" s="688" t="s">
        <v>182</v>
      </c>
      <c r="C120" s="262" t="s">
        <v>1148</v>
      </c>
      <c r="D120" s="263"/>
      <c r="E120" s="264"/>
      <c r="F120" s="583"/>
      <c r="G120" s="264"/>
      <c r="H120" s="263">
        <v>33.659999999999997</v>
      </c>
      <c r="I120" s="264">
        <v>16</v>
      </c>
      <c r="J120" s="262"/>
      <c r="K120" s="262"/>
      <c r="L120" s="262"/>
    </row>
    <row r="121" spans="1:12" s="149" customFormat="1" x14ac:dyDescent="0.25">
      <c r="A121" s="699" t="s">
        <v>92</v>
      </c>
      <c r="B121" s="688" t="s">
        <v>186</v>
      </c>
      <c r="C121" s="262" t="s">
        <v>1148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2" s="149" customFormat="1" x14ac:dyDescent="0.25">
      <c r="A122" s="699" t="s">
        <v>93</v>
      </c>
      <c r="B122" s="688" t="s">
        <v>183</v>
      </c>
      <c r="C122" s="262" t="s">
        <v>1148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699" t="s">
        <v>103</v>
      </c>
      <c r="B123" s="688" t="s">
        <v>194</v>
      </c>
      <c r="C123" s="262" t="s">
        <v>1148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699" t="s">
        <v>983</v>
      </c>
      <c r="B124" s="688" t="s">
        <v>981</v>
      </c>
      <c r="C124" s="262" t="s">
        <v>1148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2" s="149" customFormat="1" x14ac:dyDescent="0.25">
      <c r="A125" s="699" t="s">
        <v>1153</v>
      </c>
      <c r="B125" s="688" t="s">
        <v>196</v>
      </c>
      <c r="C125" s="262" t="s">
        <v>1148</v>
      </c>
      <c r="D125" s="263"/>
      <c r="E125" s="264"/>
      <c r="F125" s="583"/>
      <c r="G125" s="264"/>
      <c r="H125" s="263">
        <v>50.49</v>
      </c>
      <c r="I125" s="264">
        <v>3</v>
      </c>
      <c r="J125" s="262"/>
      <c r="K125" s="262"/>
      <c r="L125" s="262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270"/>
      <c r="F126" s="544"/>
      <c r="G126" s="270"/>
      <c r="H126" s="269"/>
      <c r="I126" s="270"/>
      <c r="J126" s="245"/>
      <c r="K126" s="245"/>
      <c r="L126" s="245"/>
    </row>
    <row r="127" spans="1:12" s="582" customFormat="1" x14ac:dyDescent="0.25">
      <c r="A127" s="731" t="s">
        <v>1077</v>
      </c>
      <c r="B127" s="732" t="s">
        <v>193</v>
      </c>
      <c r="C127" s="581"/>
      <c r="D127" s="579"/>
      <c r="E127" s="580"/>
      <c r="F127" s="631"/>
      <c r="G127" s="580"/>
      <c r="H127" s="579"/>
      <c r="I127" s="580"/>
      <c r="J127" s="581"/>
      <c r="K127" s="581"/>
      <c r="L127" s="581"/>
    </row>
    <row r="128" spans="1:12" s="149" customFormat="1" x14ac:dyDescent="0.25">
      <c r="A128" s="699" t="s">
        <v>1075</v>
      </c>
      <c r="B128" s="688" t="s">
        <v>192</v>
      </c>
      <c r="C128" s="262" t="s">
        <v>1148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12" s="149" customFormat="1" x14ac:dyDescent="0.25">
      <c r="A129" s="699" t="s">
        <v>1066</v>
      </c>
      <c r="B129" s="688" t="s">
        <v>139</v>
      </c>
      <c r="C129" s="262" t="s">
        <v>1156</v>
      </c>
      <c r="D129" s="263"/>
      <c r="E129" s="264"/>
      <c r="F129" s="583"/>
      <c r="G129" s="264"/>
      <c r="H129" s="263">
        <v>45.41</v>
      </c>
      <c r="I129" s="264">
        <v>42</v>
      </c>
      <c r="J129" s="262"/>
      <c r="K129" s="262"/>
      <c r="L129" s="262"/>
    </row>
    <row r="130" spans="1:12" s="184" customFormat="1" x14ac:dyDescent="0.25">
      <c r="A130" s="695" t="s">
        <v>64</v>
      </c>
      <c r="B130" s="681" t="s">
        <v>191</v>
      </c>
      <c r="C130" s="289"/>
      <c r="D130" s="269"/>
      <c r="E130" s="270"/>
      <c r="F130" s="544"/>
      <c r="G130" s="270"/>
      <c r="H130" s="269"/>
      <c r="I130" s="270"/>
      <c r="J130" s="245"/>
      <c r="K130" s="245"/>
      <c r="L130" s="245"/>
    </row>
    <row r="131" spans="1:12" s="149" customFormat="1" x14ac:dyDescent="0.25">
      <c r="A131" s="699" t="s">
        <v>1093</v>
      </c>
      <c r="B131" s="688" t="s">
        <v>131</v>
      </c>
      <c r="C131" s="262" t="s">
        <v>1156</v>
      </c>
      <c r="D131" s="263"/>
      <c r="E131" s="264"/>
      <c r="F131" s="583"/>
      <c r="G131" s="264"/>
      <c r="H131" s="263">
        <v>405.24</v>
      </c>
      <c r="I131" s="264">
        <v>564</v>
      </c>
      <c r="J131" s="262"/>
      <c r="K131" s="262"/>
      <c r="L131" s="262"/>
    </row>
    <row r="132" spans="1:12" s="149" customFormat="1" x14ac:dyDescent="0.25">
      <c r="A132" s="699" t="s">
        <v>1092</v>
      </c>
      <c r="B132" s="688" t="s">
        <v>133</v>
      </c>
      <c r="C132" s="262" t="s">
        <v>1156</v>
      </c>
      <c r="D132" s="263"/>
      <c r="E132" s="264"/>
      <c r="F132" s="583"/>
      <c r="G132" s="264"/>
      <c r="H132" s="263">
        <v>37.4</v>
      </c>
      <c r="I132" s="264">
        <v>27</v>
      </c>
      <c r="J132" s="262"/>
      <c r="K132" s="262"/>
      <c r="L132" s="262"/>
    </row>
    <row r="133" spans="1:12" s="149" customFormat="1" x14ac:dyDescent="0.25">
      <c r="A133" s="700" t="s">
        <v>309</v>
      </c>
      <c r="B133" s="688" t="s">
        <v>135</v>
      </c>
      <c r="C133" s="262" t="s">
        <v>1156</v>
      </c>
      <c r="D133" s="263"/>
      <c r="E133" s="264"/>
      <c r="F133" s="583"/>
      <c r="G133" s="264"/>
      <c r="H133" s="263">
        <v>1099.8599999999999</v>
      </c>
      <c r="I133" s="264">
        <v>1472</v>
      </c>
      <c r="J133" s="262"/>
      <c r="K133" s="262"/>
      <c r="L133" s="262"/>
    </row>
    <row r="134" spans="1:12" s="149" customFormat="1" x14ac:dyDescent="0.25">
      <c r="A134" s="700" t="s">
        <v>1091</v>
      </c>
      <c r="B134" s="688" t="s">
        <v>138</v>
      </c>
      <c r="C134" s="262" t="s">
        <v>1156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699" t="s">
        <v>1090</v>
      </c>
      <c r="B135" s="688" t="s">
        <v>141</v>
      </c>
      <c r="C135" s="262" t="s">
        <v>1156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699" t="s">
        <v>1089</v>
      </c>
      <c r="B136" s="688" t="s">
        <v>143</v>
      </c>
      <c r="C136" s="266" t="s">
        <v>1156</v>
      </c>
      <c r="D136" s="263"/>
      <c r="E136" s="264"/>
      <c r="F136" s="583"/>
      <c r="G136" s="264"/>
      <c r="H136" s="263">
        <v>40.07</v>
      </c>
      <c r="I136" s="264">
        <v>32</v>
      </c>
      <c r="J136" s="262"/>
      <c r="K136" s="262"/>
      <c r="L136" s="262"/>
    </row>
    <row r="137" spans="1:12" s="149" customFormat="1" x14ac:dyDescent="0.25">
      <c r="A137" s="699" t="s">
        <v>1088</v>
      </c>
      <c r="B137" s="688" t="s">
        <v>145</v>
      </c>
      <c r="C137" s="262" t="s">
        <v>1156</v>
      </c>
      <c r="D137" s="263"/>
      <c r="E137" s="264"/>
      <c r="F137" s="583"/>
      <c r="G137" s="264"/>
      <c r="H137" s="263">
        <v>206.96</v>
      </c>
      <c r="I137" s="264">
        <v>297</v>
      </c>
      <c r="J137" s="262"/>
      <c r="K137" s="262"/>
      <c r="L137" s="262"/>
    </row>
    <row r="138" spans="1:12" s="149" customFormat="1" x14ac:dyDescent="0.25">
      <c r="A138" s="699" t="s">
        <v>1086</v>
      </c>
      <c r="B138" s="688" t="s">
        <v>147</v>
      </c>
      <c r="C138" s="262" t="s">
        <v>1156</v>
      </c>
      <c r="D138" s="263"/>
      <c r="E138" s="264"/>
      <c r="F138" s="583"/>
      <c r="G138" s="264"/>
      <c r="H138" s="263">
        <v>258.57</v>
      </c>
      <c r="I138" s="264">
        <v>370</v>
      </c>
      <c r="J138" s="262"/>
      <c r="K138" s="262"/>
      <c r="L138" s="262"/>
    </row>
    <row r="139" spans="1:12" s="149" customFormat="1" x14ac:dyDescent="0.25">
      <c r="A139" s="699" t="s">
        <v>176</v>
      </c>
      <c r="B139" s="689" t="s">
        <v>165</v>
      </c>
      <c r="C139" s="262" t="s">
        <v>1136</v>
      </c>
      <c r="D139" s="263"/>
      <c r="E139" s="264"/>
      <c r="F139" s="583"/>
      <c r="G139" s="264"/>
      <c r="H139" s="263">
        <v>135.44</v>
      </c>
      <c r="I139" s="264">
        <v>191</v>
      </c>
      <c r="J139" s="262"/>
      <c r="K139" s="262"/>
      <c r="L139" s="262"/>
    </row>
    <row r="140" spans="1:12" s="199" customFormat="1" x14ac:dyDescent="0.25">
      <c r="A140" s="698" t="s">
        <v>433</v>
      </c>
      <c r="B140" s="690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</row>
    <row r="141" spans="1:12" s="149" customFormat="1" x14ac:dyDescent="0.25">
      <c r="A141" s="699" t="s">
        <v>107</v>
      </c>
      <c r="B141" s="688">
        <v>67</v>
      </c>
      <c r="C141" s="266" t="s">
        <v>1149</v>
      </c>
      <c r="D141" s="263"/>
      <c r="E141" s="264"/>
      <c r="F141" s="583"/>
      <c r="G141" s="264"/>
      <c r="H141" s="263">
        <v>47.5</v>
      </c>
      <c r="I141" s="264">
        <v>100</v>
      </c>
      <c r="J141" s="262"/>
      <c r="K141" s="262"/>
      <c r="L141" s="262"/>
    </row>
    <row r="142" spans="1:12" s="149" customFormat="1" x14ac:dyDescent="0.25">
      <c r="A142" s="699" t="s">
        <v>109</v>
      </c>
      <c r="B142" s="727">
        <v>95</v>
      </c>
      <c r="C142" s="262" t="s">
        <v>1144</v>
      </c>
      <c r="D142" s="263"/>
      <c r="E142" s="264"/>
      <c r="F142" s="583"/>
      <c r="G142" s="264"/>
      <c r="H142" s="263">
        <v>60</v>
      </c>
      <c r="I142" s="264">
        <v>1100</v>
      </c>
      <c r="J142" s="262"/>
      <c r="K142" s="262"/>
      <c r="L142" s="262"/>
    </row>
    <row r="143" spans="1:12" s="199" customFormat="1" x14ac:dyDescent="0.25">
      <c r="A143" s="694" t="s">
        <v>432</v>
      </c>
      <c r="B143" s="691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</row>
    <row r="144" spans="1:12" s="149" customFormat="1" x14ac:dyDescent="0.25">
      <c r="A144" s="699" t="s">
        <v>1137</v>
      </c>
      <c r="B144" s="689">
        <v>61</v>
      </c>
      <c r="C144" s="266">
        <v>43171</v>
      </c>
      <c r="D144" s="263"/>
      <c r="E144" s="264"/>
      <c r="F144" s="583"/>
      <c r="G144" s="264"/>
      <c r="H144" s="263">
        <v>35.18</v>
      </c>
      <c r="I144" s="264">
        <v>270</v>
      </c>
      <c r="J144" s="262"/>
      <c r="K144" s="262"/>
      <c r="L144" s="262"/>
    </row>
    <row r="145" spans="1:88" s="199" customFormat="1" x14ac:dyDescent="0.25">
      <c r="A145" s="698" t="s">
        <v>431</v>
      </c>
      <c r="B145" s="690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</row>
    <row r="146" spans="1:88" s="149" customFormat="1" ht="26.25" x14ac:dyDescent="0.25">
      <c r="A146" s="699" t="s">
        <v>40</v>
      </c>
      <c r="B146" s="689">
        <v>95</v>
      </c>
      <c r="C146" s="266" t="s">
        <v>1143</v>
      </c>
      <c r="D146" s="263"/>
      <c r="E146" s="264"/>
      <c r="F146" s="583"/>
      <c r="G146" s="264"/>
      <c r="H146" s="263">
        <v>20</v>
      </c>
      <c r="I146" s="264">
        <v>100</v>
      </c>
      <c r="J146" s="262"/>
      <c r="K146" s="262"/>
      <c r="L146" s="262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</row>
    <row r="148" spans="1:88" s="149" customFormat="1" x14ac:dyDescent="0.25">
      <c r="A148" s="695" t="s">
        <v>355</v>
      </c>
      <c r="B148" s="692"/>
      <c r="C148" s="289"/>
      <c r="D148" s="269"/>
      <c r="E148" s="270"/>
      <c r="F148" s="544"/>
      <c r="G148" s="270"/>
      <c r="H148" s="269"/>
      <c r="I148" s="270"/>
      <c r="J148" s="245"/>
      <c r="K148" s="245"/>
      <c r="L148" s="245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184" customFormat="1" ht="46.5" customHeight="1" x14ac:dyDescent="0.25">
      <c r="A149" s="692"/>
      <c r="B149" s="692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88" s="184" customFormat="1" x14ac:dyDescent="0.25">
      <c r="A150" s="692"/>
      <c r="B150" s="692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692"/>
      <c r="B151" s="692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692"/>
      <c r="B152" s="692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692"/>
      <c r="B153" s="692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692"/>
      <c r="B154" s="692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692"/>
      <c r="B155" s="692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692"/>
      <c r="B156" s="692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692"/>
      <c r="B157" s="692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692"/>
      <c r="B158" s="692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692"/>
      <c r="B159" s="692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692"/>
      <c r="B160" s="692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692"/>
      <c r="B161" s="692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692"/>
      <c r="B162" s="692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692"/>
      <c r="B163" s="692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692"/>
      <c r="B164" s="692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692"/>
      <c r="B165" s="692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692"/>
      <c r="B166" s="692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692"/>
      <c r="B167" s="692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692"/>
      <c r="B168" s="692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692"/>
      <c r="B169" s="692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692"/>
      <c r="B170" s="692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692"/>
      <c r="B171" s="692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692"/>
      <c r="B172" s="692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692"/>
      <c r="B173" s="692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692"/>
      <c r="B174" s="692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692"/>
      <c r="B175" s="692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692"/>
      <c r="B176" s="692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692"/>
      <c r="B177" s="692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692"/>
      <c r="B178" s="692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692"/>
      <c r="B179" s="692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692"/>
      <c r="B180" s="692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692"/>
      <c r="B181" s="692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692"/>
      <c r="B182" s="692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692"/>
      <c r="B183" s="692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692"/>
      <c r="B184" s="692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692"/>
      <c r="B185" s="692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692"/>
      <c r="B186" s="692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692"/>
      <c r="B187" s="692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692"/>
      <c r="B188" s="692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692"/>
      <c r="B189" s="692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692"/>
      <c r="B190" s="692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692"/>
      <c r="B191" s="692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692"/>
      <c r="B192" s="692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692"/>
      <c r="B193" s="692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692"/>
      <c r="B194" s="692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692"/>
      <c r="B195" s="692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692"/>
      <c r="B196" s="692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692"/>
      <c r="B197" s="692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692"/>
      <c r="B198" s="692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692"/>
      <c r="B199" s="692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692"/>
      <c r="B200" s="692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692"/>
      <c r="B201" s="692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692"/>
      <c r="B202" s="692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692"/>
      <c r="B203" s="692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692"/>
      <c r="B204" s="692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692"/>
      <c r="B205" s="692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692"/>
      <c r="B206" s="692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692"/>
      <c r="B207" s="692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692"/>
      <c r="B208" s="692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692"/>
      <c r="B209" s="692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692"/>
      <c r="B210" s="692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692"/>
      <c r="B211" s="692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692"/>
      <c r="B212" s="692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692"/>
      <c r="B213" s="692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692"/>
      <c r="B214" s="692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692"/>
      <c r="B215" s="692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692"/>
      <c r="B216" s="692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692"/>
      <c r="B217" s="692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692"/>
      <c r="B218" s="692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692"/>
      <c r="B219" s="692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692"/>
      <c r="B220" s="692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692"/>
      <c r="B221" s="692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692"/>
      <c r="B222" s="692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692"/>
      <c r="B223" s="692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692"/>
      <c r="B224" s="692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692"/>
      <c r="B225" s="692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692"/>
      <c r="B226" s="692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692"/>
      <c r="B227" s="692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692"/>
      <c r="B228" s="692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692"/>
      <c r="B229" s="692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692"/>
      <c r="B230" s="692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692"/>
      <c r="B231" s="692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692"/>
      <c r="B232" s="692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692"/>
      <c r="B233" s="692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692"/>
      <c r="B234" s="692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692"/>
      <c r="B235" s="692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692"/>
      <c r="B236" s="692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692"/>
      <c r="B237" s="692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692"/>
      <c r="B238" s="692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692"/>
      <c r="B239" s="692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692"/>
      <c r="B240" s="692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692"/>
      <c r="B241" s="692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692"/>
      <c r="B242" s="692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692"/>
      <c r="B243" s="692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692"/>
      <c r="B244" s="692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692"/>
      <c r="B245" s="692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692"/>
      <c r="B246" s="692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692"/>
      <c r="B247" s="692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692"/>
      <c r="B248" s="692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692"/>
      <c r="B249" s="692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692"/>
      <c r="B250" s="692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692"/>
      <c r="B251" s="692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692"/>
      <c r="B252" s="692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692"/>
      <c r="B253" s="692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692"/>
      <c r="B254" s="692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692"/>
      <c r="B255" s="692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692"/>
      <c r="B256" s="692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692"/>
      <c r="B257" s="692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1146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22"/>
      <c r="B4" s="723"/>
      <c r="C4" s="723"/>
      <c r="D4" s="723"/>
      <c r="E4" s="723"/>
      <c r="F4" s="723"/>
      <c r="G4" s="72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223382</v>
      </c>
      <c r="D13" s="34"/>
      <c r="E13" s="35" t="s">
        <v>33</v>
      </c>
      <c r="F13" s="34"/>
      <c r="G13" s="42">
        <v>20909.759999999998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7413</v>
      </c>
      <c r="D15" s="34"/>
      <c r="E15" s="35" t="s">
        <v>10</v>
      </c>
      <c r="F15" s="34"/>
      <c r="G15" s="42">
        <v>5912.44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2674</v>
      </c>
      <c r="D17" s="34"/>
      <c r="E17" s="35" t="s">
        <v>278</v>
      </c>
      <c r="F17" s="34"/>
      <c r="G17" s="42">
        <v>2915.53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L41" sqref="L41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7.28515625" style="544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7" style="245" customWidth="1"/>
    <col min="12" max="12" width="17.7109375" style="245" customWidth="1"/>
    <col min="13" max="88" width="9.140625" style="184"/>
    <col min="89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12" s="148" customFormat="1" x14ac:dyDescent="0.25">
      <c r="A3" s="346" t="s">
        <v>339</v>
      </c>
      <c r="B3" s="255">
        <v>3038136345</v>
      </c>
      <c r="C3" s="256" t="s">
        <v>1120</v>
      </c>
      <c r="D3" s="257"/>
      <c r="E3" s="258"/>
      <c r="F3" s="586">
        <v>1460.01</v>
      </c>
      <c r="G3" s="258">
        <v>2027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1122</v>
      </c>
      <c r="D4" s="263"/>
      <c r="E4" s="264"/>
      <c r="F4" s="583">
        <v>477.58</v>
      </c>
      <c r="G4" s="264">
        <v>620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1121</v>
      </c>
      <c r="D5" s="257"/>
      <c r="E5" s="258"/>
      <c r="F5" s="586">
        <v>373.63</v>
      </c>
      <c r="G5" s="258">
        <v>465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1123</v>
      </c>
      <c r="D6" s="263"/>
      <c r="E6" s="264"/>
      <c r="F6" s="583">
        <v>337.75</v>
      </c>
      <c r="G6" s="264">
        <v>418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260" t="s">
        <v>41</v>
      </c>
      <c r="B7" s="261">
        <v>3044004323</v>
      </c>
      <c r="C7" s="262" t="s">
        <v>1121</v>
      </c>
      <c r="D7" s="263"/>
      <c r="E7" s="264"/>
      <c r="F7" s="583">
        <v>210.22</v>
      </c>
      <c r="G7" s="264">
        <v>239</v>
      </c>
      <c r="H7" s="263"/>
      <c r="I7" s="264"/>
      <c r="J7" s="262" t="s">
        <v>10</v>
      </c>
      <c r="K7" s="262"/>
      <c r="L7" s="262"/>
    </row>
    <row r="8" spans="1:12" s="149" customFormat="1" ht="24" customHeight="1" x14ac:dyDescent="0.25">
      <c r="A8" s="260" t="s">
        <v>42</v>
      </c>
      <c r="B8" s="261">
        <v>3029257704</v>
      </c>
      <c r="C8" s="262" t="s">
        <v>1123</v>
      </c>
      <c r="D8" s="263"/>
      <c r="E8" s="264"/>
      <c r="F8" s="583">
        <v>157.19</v>
      </c>
      <c r="G8" s="264">
        <v>155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1123</v>
      </c>
      <c r="D9" s="263"/>
      <c r="E9" s="264"/>
      <c r="F9" s="583">
        <v>685.61</v>
      </c>
      <c r="G9" s="264">
        <v>919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1123</v>
      </c>
      <c r="D10" s="263"/>
      <c r="E10" s="264"/>
      <c r="F10" s="583">
        <v>477.98</v>
      </c>
      <c r="G10" s="264">
        <v>620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1121</v>
      </c>
      <c r="D11" s="263"/>
      <c r="E11" s="264"/>
      <c r="F11" s="583">
        <v>61.23</v>
      </c>
      <c r="G11" s="264">
        <v>3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1122</v>
      </c>
      <c r="D12" s="263"/>
      <c r="E12" s="264"/>
      <c r="F12" s="583">
        <v>66.849999999999994</v>
      </c>
      <c r="G12" s="264">
        <v>28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1122</v>
      </c>
      <c r="D13" s="263"/>
      <c r="E13" s="264"/>
      <c r="F13" s="583">
        <v>626.73</v>
      </c>
      <c r="G13" s="264">
        <v>835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1125</v>
      </c>
      <c r="D14" s="263"/>
      <c r="E14" s="264"/>
      <c r="F14" s="583">
        <v>136.33000000000001</v>
      </c>
      <c r="G14" s="264">
        <v>128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1122</v>
      </c>
      <c r="D15" s="263"/>
      <c r="E15" s="264"/>
      <c r="F15" s="583">
        <v>608</v>
      </c>
      <c r="G15" s="264">
        <v>808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1122</v>
      </c>
      <c r="D16" s="263"/>
      <c r="E16" s="264"/>
      <c r="F16" s="583">
        <v>121.79</v>
      </c>
      <c r="G16" s="264">
        <v>128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1122</v>
      </c>
      <c r="D17" s="263"/>
      <c r="E17" s="264"/>
      <c r="F17" s="583">
        <v>111.54</v>
      </c>
      <c r="G17" s="264">
        <v>20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1115</v>
      </c>
      <c r="D19" s="572">
        <v>27.43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1115</v>
      </c>
      <c r="D20" s="572">
        <v>194.43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1115</v>
      </c>
      <c r="D21" s="572">
        <v>761.71</v>
      </c>
      <c r="E21" s="564">
        <v>4400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1131</v>
      </c>
      <c r="D22" s="572">
        <v>82.35</v>
      </c>
      <c r="E22" s="564">
        <v>1053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1115</v>
      </c>
      <c r="D23" s="572">
        <v>15.5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1129</v>
      </c>
      <c r="D24" s="572">
        <v>96.23</v>
      </c>
      <c r="E24" s="564">
        <v>1276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1128</v>
      </c>
      <c r="D25" s="572">
        <v>4298.41</v>
      </c>
      <c r="E25" s="564">
        <v>74300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1115</v>
      </c>
      <c r="D26" s="572">
        <v>216.13</v>
      </c>
      <c r="E26" s="564">
        <v>1963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1129</v>
      </c>
      <c r="D27" s="572">
        <v>63.85</v>
      </c>
      <c r="E27" s="564">
        <v>300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1131</v>
      </c>
      <c r="D28" s="572">
        <v>299.3</v>
      </c>
      <c r="E28" s="564">
        <v>1440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1115</v>
      </c>
      <c r="D29" s="572">
        <v>462.92</v>
      </c>
      <c r="E29" s="564">
        <v>5840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1131</v>
      </c>
      <c r="D30" s="572">
        <v>729.56</v>
      </c>
      <c r="E30" s="564">
        <v>10856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1115</v>
      </c>
      <c r="D31" s="572">
        <v>1087.51</v>
      </c>
      <c r="E31" s="564">
        <v>13620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1116</v>
      </c>
      <c r="D32" s="572">
        <v>14.57</v>
      </c>
      <c r="E32" s="564">
        <v>20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" customHeight="1" x14ac:dyDescent="0.25">
      <c r="A33" s="563" t="s">
        <v>858</v>
      </c>
      <c r="B33" s="563">
        <v>5216006454</v>
      </c>
      <c r="C33" s="563" t="s">
        <v>1114</v>
      </c>
      <c r="D33" s="572">
        <v>21.66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1126</v>
      </c>
      <c r="B34" s="563">
        <v>5216006455</v>
      </c>
      <c r="C34" s="563" t="s">
        <v>1124</v>
      </c>
      <c r="D34" s="572">
        <v>21.55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1117</v>
      </c>
      <c r="D35" s="572">
        <v>191.5</v>
      </c>
      <c r="E35" s="564">
        <v>865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1117</v>
      </c>
      <c r="D36" s="572">
        <v>38.08</v>
      </c>
      <c r="E36" s="564">
        <v>367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1129</v>
      </c>
      <c r="D37" s="572">
        <v>324.47000000000003</v>
      </c>
      <c r="E37" s="564">
        <v>3621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1131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1117</v>
      </c>
      <c r="D39" s="572">
        <v>22.51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1124</v>
      </c>
      <c r="D40" s="572">
        <v>136.59</v>
      </c>
      <c r="E40" s="564">
        <v>1872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1133</v>
      </c>
      <c r="D41" s="572">
        <v>16.64</v>
      </c>
      <c r="E41" s="564">
        <v>52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1115</v>
      </c>
      <c r="D42" s="572">
        <v>15.5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1115</v>
      </c>
      <c r="D43" s="572">
        <v>18.61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1129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1117</v>
      </c>
      <c r="D45" s="572">
        <v>246.61</v>
      </c>
      <c r="E45" s="564">
        <v>1723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563" t="s">
        <v>832</v>
      </c>
      <c r="B46" s="563">
        <v>5216006468</v>
      </c>
      <c r="C46" s="563" t="s">
        <v>1115</v>
      </c>
      <c r="D46" s="572">
        <v>328.34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1115</v>
      </c>
      <c r="D47" s="572">
        <v>246.44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1115</v>
      </c>
      <c r="D48" s="572">
        <v>1058.3399999999999</v>
      </c>
      <c r="E48" s="564">
        <v>11940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1117</v>
      </c>
      <c r="D49" s="572">
        <v>22.51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1131</v>
      </c>
      <c r="D50" s="572">
        <v>54.02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1124</v>
      </c>
      <c r="D51" s="572">
        <v>123.34</v>
      </c>
      <c r="E51" s="564">
        <v>1458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1117</v>
      </c>
      <c r="D52" s="572">
        <v>74.75</v>
      </c>
      <c r="E52" s="564">
        <v>908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1115</v>
      </c>
      <c r="D53" s="572">
        <v>21.66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1131</v>
      </c>
      <c r="D55" s="572">
        <v>47.29</v>
      </c>
      <c r="E55" s="564">
        <v>51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1132</v>
      </c>
      <c r="D56" s="572">
        <v>90.09</v>
      </c>
      <c r="E56" s="564">
        <v>1168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1133</v>
      </c>
      <c r="D57" s="572">
        <v>106.74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1117</v>
      </c>
      <c r="D58" s="572">
        <v>678.95</v>
      </c>
      <c r="E58" s="564">
        <v>8400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1131</v>
      </c>
      <c r="D59" s="572">
        <v>162.72</v>
      </c>
      <c r="E59" s="564">
        <v>1186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1124</v>
      </c>
      <c r="D60" s="572">
        <v>25.94</v>
      </c>
      <c r="E60" s="564">
        <v>193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1117</v>
      </c>
      <c r="D61" s="572">
        <v>75.22</v>
      </c>
      <c r="E61" s="564">
        <v>915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1115</v>
      </c>
      <c r="D62" s="572">
        <v>340.85</v>
      </c>
      <c r="E62" s="564">
        <v>3592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1115</v>
      </c>
      <c r="D63" s="572">
        <v>24.7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1133</v>
      </c>
      <c r="D64" s="572">
        <v>13.22</v>
      </c>
      <c r="E64" s="564">
        <v>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563" t="s">
        <v>862</v>
      </c>
      <c r="B65" s="563">
        <v>5216006487</v>
      </c>
      <c r="C65" s="563" t="s">
        <v>1115</v>
      </c>
      <c r="D65" s="572">
        <v>1046.0899999999999</v>
      </c>
      <c r="E65" s="564">
        <v>9300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1129</v>
      </c>
      <c r="D66" s="572">
        <v>96.91</v>
      </c>
      <c r="E66" s="564">
        <v>1272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1129</v>
      </c>
      <c r="D67" s="572">
        <v>50.47</v>
      </c>
      <c r="E67" s="564">
        <v>566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280" t="s">
        <v>878</v>
      </c>
      <c r="B68" s="643"/>
      <c r="C68" s="249"/>
      <c r="D68" s="250"/>
      <c r="E68" s="251"/>
      <c r="F68" s="543"/>
      <c r="G68" s="251"/>
      <c r="H68" s="250"/>
      <c r="I68" s="251"/>
      <c r="J68" s="249"/>
      <c r="K68" s="249"/>
      <c r="L68" s="249"/>
    </row>
    <row r="69" spans="1:12" s="149" customFormat="1" ht="26.25" x14ac:dyDescent="0.25">
      <c r="A69" s="260" t="s">
        <v>51</v>
      </c>
      <c r="B69" s="261" t="s">
        <v>208</v>
      </c>
      <c r="C69" s="266" t="s">
        <v>1124</v>
      </c>
      <c r="D69" s="263">
        <v>200</v>
      </c>
      <c r="E69" s="264">
        <v>1738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1124</v>
      </c>
      <c r="D70" s="263">
        <v>172</v>
      </c>
      <c r="E70" s="264">
        <v>1251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1124</v>
      </c>
      <c r="D71" s="263">
        <v>120</v>
      </c>
      <c r="E71" s="264">
        <v>713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1124</v>
      </c>
      <c r="D72" s="263">
        <v>42</v>
      </c>
      <c r="E72" s="264">
        <v>115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1124</v>
      </c>
      <c r="D73" s="263">
        <v>37</v>
      </c>
      <c r="E73" s="264">
        <v>64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1124</v>
      </c>
      <c r="D74" s="263">
        <v>288</v>
      </c>
      <c r="E74" s="264">
        <v>2436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1124</v>
      </c>
      <c r="D75" s="263">
        <v>293</v>
      </c>
      <c r="E75" s="264">
        <v>2776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1124</v>
      </c>
      <c r="D76" s="263">
        <v>64</v>
      </c>
      <c r="E76" s="264">
        <v>342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1124</v>
      </c>
      <c r="D77" s="263">
        <v>88</v>
      </c>
      <c r="E77" s="264">
        <v>384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1124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1124</v>
      </c>
      <c r="D79" s="263">
        <v>52</v>
      </c>
      <c r="E79" s="264">
        <v>220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1124</v>
      </c>
      <c r="D80" s="263">
        <v>50</v>
      </c>
      <c r="E80" s="264"/>
      <c r="F80" s="583"/>
      <c r="G80" s="264"/>
      <c r="H80" s="263"/>
      <c r="I80" s="264"/>
      <c r="J80" s="262"/>
      <c r="K80" s="265"/>
      <c r="L80" s="265"/>
    </row>
    <row r="81" spans="1:17" s="148" customFormat="1" x14ac:dyDescent="0.25">
      <c r="A81" s="325" t="s">
        <v>621</v>
      </c>
      <c r="B81" s="326" t="s">
        <v>201</v>
      </c>
      <c r="C81" s="327"/>
      <c r="D81" s="328"/>
      <c r="E81" s="329"/>
      <c r="F81" s="620"/>
      <c r="G81" s="329"/>
      <c r="H81" s="328"/>
      <c r="I81" s="329"/>
      <c r="J81" s="327" t="s">
        <v>33</v>
      </c>
      <c r="K81" s="327"/>
      <c r="L81" s="327"/>
      <c r="M81" s="331"/>
      <c r="N81" s="331"/>
      <c r="O81" s="331"/>
      <c r="P81" s="331"/>
      <c r="Q81" s="331"/>
    </row>
    <row r="82" spans="1:17" s="149" customFormat="1" x14ac:dyDescent="0.25">
      <c r="A82" s="260" t="s">
        <v>768</v>
      </c>
      <c r="B82" s="261" t="s">
        <v>202</v>
      </c>
      <c r="C82" s="266" t="s">
        <v>1124</v>
      </c>
      <c r="D82" s="263">
        <v>91</v>
      </c>
      <c r="E82" s="264">
        <v>448</v>
      </c>
      <c r="F82" s="583"/>
      <c r="G82" s="264"/>
      <c r="H82" s="263"/>
      <c r="I82" s="264"/>
      <c r="J82" s="262" t="s">
        <v>33</v>
      </c>
      <c r="K82" s="262"/>
      <c r="L82" s="262"/>
    </row>
    <row r="83" spans="1:17" s="149" customFormat="1" x14ac:dyDescent="0.25">
      <c r="A83" s="260" t="s">
        <v>96</v>
      </c>
      <c r="B83" s="261">
        <v>7815400</v>
      </c>
      <c r="C83" s="262" t="s">
        <v>1124</v>
      </c>
      <c r="D83" s="263">
        <v>1350</v>
      </c>
      <c r="E83" s="264">
        <v>11400</v>
      </c>
      <c r="F83" s="583"/>
      <c r="G83" s="264"/>
      <c r="H83" s="263"/>
      <c r="I83" s="264"/>
      <c r="J83" s="262" t="s">
        <v>33</v>
      </c>
      <c r="K83" s="262"/>
      <c r="L83" s="262"/>
    </row>
    <row r="84" spans="1:17" s="149" customFormat="1" x14ac:dyDescent="0.25">
      <c r="A84" s="260" t="s">
        <v>97</v>
      </c>
      <c r="B84" s="261" t="s">
        <v>204</v>
      </c>
      <c r="C84" s="262" t="s">
        <v>1124</v>
      </c>
      <c r="D84" s="263">
        <v>57</v>
      </c>
      <c r="E84" s="264">
        <v>8</v>
      </c>
      <c r="F84" s="583"/>
      <c r="G84" s="264"/>
      <c r="H84" s="263"/>
      <c r="I84" s="264"/>
      <c r="J84" s="262" t="s">
        <v>33</v>
      </c>
      <c r="K84" s="262"/>
      <c r="L84" s="262"/>
    </row>
    <row r="85" spans="1:17" s="149" customFormat="1" x14ac:dyDescent="0.25">
      <c r="A85" s="260" t="s">
        <v>98</v>
      </c>
      <c r="B85" s="261" t="s">
        <v>205</v>
      </c>
      <c r="C85" s="262" t="s">
        <v>1124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7" s="149" customFormat="1" x14ac:dyDescent="0.25">
      <c r="A86" s="260" t="s">
        <v>769</v>
      </c>
      <c r="B86" s="261" t="s">
        <v>206</v>
      </c>
      <c r="C86" s="262" t="s">
        <v>1124</v>
      </c>
      <c r="D86" s="263">
        <v>57</v>
      </c>
      <c r="E86" s="264">
        <v>195</v>
      </c>
      <c r="F86" s="583"/>
      <c r="G86" s="264"/>
      <c r="H86" s="263"/>
      <c r="I86" s="264"/>
      <c r="J86" s="262" t="s">
        <v>33</v>
      </c>
      <c r="K86" s="262"/>
      <c r="L86" s="262"/>
    </row>
    <row r="87" spans="1:17" s="149" customFormat="1" x14ac:dyDescent="0.25">
      <c r="A87" s="260" t="s">
        <v>100</v>
      </c>
      <c r="B87" s="282">
        <v>1323346600</v>
      </c>
      <c r="C87" s="262" t="s">
        <v>1124</v>
      </c>
      <c r="D87" s="263">
        <v>758</v>
      </c>
      <c r="E87" s="264">
        <v>6300</v>
      </c>
      <c r="F87" s="583"/>
      <c r="G87" s="264"/>
      <c r="H87" s="263"/>
      <c r="I87" s="264"/>
      <c r="J87" s="262" t="s">
        <v>33</v>
      </c>
      <c r="K87" s="262"/>
      <c r="L87" s="262"/>
    </row>
    <row r="88" spans="1:17" s="149" customFormat="1" x14ac:dyDescent="0.25">
      <c r="A88" s="260" t="s">
        <v>101</v>
      </c>
      <c r="B88" s="282">
        <v>1322699400</v>
      </c>
      <c r="C88" s="266" t="s">
        <v>1124</v>
      </c>
      <c r="D88" s="263">
        <v>612</v>
      </c>
      <c r="E88" s="264">
        <v>5400</v>
      </c>
      <c r="F88" s="583"/>
      <c r="G88" s="264"/>
      <c r="H88" s="263"/>
      <c r="I88" s="264"/>
      <c r="J88" s="262" t="s">
        <v>33</v>
      </c>
      <c r="K88" s="262"/>
      <c r="L88" s="262"/>
    </row>
    <row r="89" spans="1:17" s="352" customFormat="1" x14ac:dyDescent="0.25">
      <c r="A89" s="621" t="s">
        <v>772</v>
      </c>
      <c r="B89" s="672" t="s">
        <v>200</v>
      </c>
      <c r="C89" s="673"/>
      <c r="D89" s="674"/>
      <c r="E89" s="675"/>
      <c r="F89" s="676"/>
      <c r="G89" s="675"/>
      <c r="H89" s="674"/>
      <c r="I89" s="675"/>
      <c r="J89" s="673" t="s">
        <v>33</v>
      </c>
      <c r="K89" s="673"/>
      <c r="L89" s="673"/>
      <c r="M89" s="677"/>
      <c r="N89" s="677"/>
      <c r="O89" s="677"/>
      <c r="P89" s="677"/>
      <c r="Q89" s="677"/>
    </row>
    <row r="90" spans="1:17" s="149" customFormat="1" x14ac:dyDescent="0.25">
      <c r="A90" s="260" t="s">
        <v>110</v>
      </c>
      <c r="B90" s="261" t="s">
        <v>207</v>
      </c>
      <c r="C90" s="262" t="s">
        <v>1124</v>
      </c>
      <c r="D90" s="263">
        <v>122</v>
      </c>
      <c r="E90" s="264">
        <v>282</v>
      </c>
      <c r="F90" s="583"/>
      <c r="G90" s="264"/>
      <c r="H90" s="263"/>
      <c r="I90" s="264"/>
      <c r="J90" s="262" t="s">
        <v>33</v>
      </c>
      <c r="K90" s="262"/>
      <c r="L90" s="262"/>
    </row>
    <row r="91" spans="1:17" s="149" customFormat="1" x14ac:dyDescent="0.25">
      <c r="A91" s="260" t="s">
        <v>111</v>
      </c>
      <c r="B91" s="261" t="s">
        <v>222</v>
      </c>
      <c r="C91" s="262" t="s">
        <v>1124</v>
      </c>
      <c r="D91" s="263">
        <v>50</v>
      </c>
      <c r="E91" s="264">
        <v>145</v>
      </c>
      <c r="F91" s="583"/>
      <c r="G91" s="264"/>
      <c r="H91" s="263"/>
      <c r="I91" s="264"/>
      <c r="J91" s="262" t="s">
        <v>33</v>
      </c>
      <c r="K91" s="262"/>
      <c r="L91" s="262"/>
    </row>
    <row r="92" spans="1:17" s="149" customFormat="1" ht="15.75" customHeight="1" x14ac:dyDescent="0.25">
      <c r="A92" s="260" t="s">
        <v>117</v>
      </c>
      <c r="B92" s="261" t="s">
        <v>220</v>
      </c>
      <c r="C92" s="262" t="s">
        <v>1124</v>
      </c>
      <c r="D92" s="263">
        <v>87</v>
      </c>
      <c r="E92" s="264">
        <v>377</v>
      </c>
      <c r="F92" s="583"/>
      <c r="G92" s="264"/>
      <c r="H92" s="263"/>
      <c r="I92" s="264"/>
      <c r="J92" s="262" t="s">
        <v>33</v>
      </c>
      <c r="K92" s="262"/>
      <c r="L92" s="262"/>
    </row>
    <row r="93" spans="1:17" s="149" customFormat="1" x14ac:dyDescent="0.25">
      <c r="A93" s="260" t="s">
        <v>118</v>
      </c>
      <c r="B93" s="261" t="s">
        <v>221</v>
      </c>
      <c r="C93" s="266" t="s">
        <v>1124</v>
      </c>
      <c r="D93" s="263">
        <v>112</v>
      </c>
      <c r="E93" s="264">
        <v>832</v>
      </c>
      <c r="F93" s="583"/>
      <c r="G93" s="264"/>
      <c r="H93" s="263"/>
      <c r="I93" s="264"/>
      <c r="J93" s="262" t="s">
        <v>33</v>
      </c>
      <c r="K93" s="262"/>
      <c r="L93" s="262"/>
    </row>
    <row r="94" spans="1:17" s="149" customFormat="1" x14ac:dyDescent="0.25">
      <c r="A94" s="260" t="s">
        <v>701</v>
      </c>
      <c r="B94" s="261">
        <v>1323115001</v>
      </c>
      <c r="C94" s="266" t="s">
        <v>1124</v>
      </c>
      <c r="D94" s="263">
        <v>1368</v>
      </c>
      <c r="E94" s="264">
        <v>12600</v>
      </c>
      <c r="F94" s="583"/>
      <c r="G94" s="264"/>
      <c r="H94" s="263"/>
      <c r="I94" s="264"/>
      <c r="J94" s="262"/>
      <c r="K94" s="262"/>
      <c r="L94" s="262"/>
    </row>
    <row r="95" spans="1:17" s="149" customFormat="1" x14ac:dyDescent="0.25">
      <c r="A95" s="260" t="s">
        <v>683</v>
      </c>
      <c r="B95" s="261">
        <v>1322673502</v>
      </c>
      <c r="C95" s="266" t="s">
        <v>1124</v>
      </c>
      <c r="D95" s="263">
        <v>61</v>
      </c>
      <c r="E95" s="264">
        <v>107</v>
      </c>
      <c r="F95" s="583"/>
      <c r="G95" s="264"/>
      <c r="H95" s="263"/>
      <c r="I95" s="264"/>
      <c r="J95" s="262"/>
      <c r="K95" s="262"/>
      <c r="L95" s="262"/>
    </row>
    <row r="96" spans="1:17" s="149" customFormat="1" x14ac:dyDescent="0.25">
      <c r="A96" s="260" t="s">
        <v>702</v>
      </c>
      <c r="B96" s="261">
        <v>1322725900</v>
      </c>
      <c r="C96" s="266" t="s">
        <v>1124</v>
      </c>
      <c r="D96" s="263">
        <v>564</v>
      </c>
      <c r="E96" s="264">
        <v>5040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280" t="s">
        <v>434</v>
      </c>
      <c r="B97" s="643"/>
      <c r="C97" s="249"/>
      <c r="D97" s="250"/>
      <c r="E97" s="251"/>
      <c r="F97" s="543"/>
      <c r="G97" s="251"/>
      <c r="H97" s="250"/>
      <c r="I97" s="251"/>
      <c r="J97" s="249"/>
      <c r="K97" s="249"/>
      <c r="L97" s="249"/>
    </row>
    <row r="98" spans="1:12" s="149" customFormat="1" x14ac:dyDescent="0.25">
      <c r="A98" s="260" t="s">
        <v>65</v>
      </c>
      <c r="B98" s="261" t="s">
        <v>163</v>
      </c>
      <c r="C98" s="262" t="s">
        <v>1124</v>
      </c>
      <c r="D98" s="263"/>
      <c r="E98" s="264"/>
      <c r="F98" s="583"/>
      <c r="G98" s="264"/>
      <c r="H98" s="263">
        <v>112.08</v>
      </c>
      <c r="I98" s="264">
        <v>155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6" t="s">
        <v>1124</v>
      </c>
      <c r="D99" s="263"/>
      <c r="E99" s="264"/>
      <c r="F99" s="583"/>
      <c r="G99" s="264"/>
      <c r="H99" s="263">
        <v>90.66</v>
      </c>
      <c r="I99" s="264">
        <v>122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1124</v>
      </c>
      <c r="D100" s="263"/>
      <c r="E100" s="264"/>
      <c r="F100" s="583"/>
      <c r="G100" s="264"/>
      <c r="H100" s="263">
        <v>34.19</v>
      </c>
      <c r="I100" s="264">
        <v>21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1124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1124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1124</v>
      </c>
      <c r="D103" s="263"/>
      <c r="E103" s="264"/>
      <c r="F103" s="583"/>
      <c r="G103" s="264"/>
      <c r="H103" s="263">
        <v>33.659999999999997</v>
      </c>
      <c r="I103" s="264">
        <v>7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1124</v>
      </c>
      <c r="D104" s="263"/>
      <c r="E104" s="264"/>
      <c r="F104" s="583"/>
      <c r="G104" s="264"/>
      <c r="H104" s="263">
        <v>34.729999999999997</v>
      </c>
      <c r="I104" s="264">
        <v>22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1124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1124</v>
      </c>
      <c r="D106" s="263"/>
      <c r="E106" s="264"/>
      <c r="F106" s="583"/>
      <c r="G106" s="264"/>
      <c r="H106" s="263">
        <v>161.4</v>
      </c>
      <c r="I106" s="264">
        <v>231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1124</v>
      </c>
      <c r="D107" s="263"/>
      <c r="E107" s="264"/>
      <c r="F107" s="583"/>
      <c r="G107" s="264"/>
      <c r="H107" s="263">
        <v>33.659999999999997</v>
      </c>
      <c r="I107" s="264">
        <v>7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1124</v>
      </c>
      <c r="D108" s="263"/>
      <c r="E108" s="264"/>
      <c r="F108" s="583"/>
      <c r="G108" s="264"/>
      <c r="H108" s="263">
        <v>33.659999999999997</v>
      </c>
      <c r="I108" s="264">
        <v>1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1124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1124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1124</v>
      </c>
      <c r="D111" s="263"/>
      <c r="E111" s="264"/>
      <c r="F111" s="583"/>
      <c r="G111" s="264"/>
      <c r="H111" s="263">
        <v>33.659999999999997</v>
      </c>
      <c r="I111" s="264">
        <v>1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1124</v>
      </c>
      <c r="D112" s="263"/>
      <c r="E112" s="264"/>
      <c r="F112" s="583"/>
      <c r="G112" s="264"/>
      <c r="H112" s="263">
        <v>33.659999999999997</v>
      </c>
      <c r="I112" s="264">
        <v>5</v>
      </c>
      <c r="J112" s="262"/>
      <c r="K112" s="262"/>
      <c r="L112" s="262"/>
    </row>
    <row r="113" spans="1:17" s="149" customFormat="1" x14ac:dyDescent="0.25">
      <c r="A113" s="260" t="s">
        <v>84</v>
      </c>
      <c r="B113" s="261" t="s">
        <v>175</v>
      </c>
      <c r="C113" s="262" t="s">
        <v>1124</v>
      </c>
      <c r="D113" s="263"/>
      <c r="E113" s="264"/>
      <c r="F113" s="583"/>
      <c r="G113" s="264"/>
      <c r="H113" s="263">
        <v>33.659999999999997</v>
      </c>
      <c r="I113" s="264">
        <v>3</v>
      </c>
      <c r="J113" s="262"/>
      <c r="K113" s="262"/>
      <c r="L113" s="262"/>
    </row>
    <row r="114" spans="1:17" s="149" customFormat="1" x14ac:dyDescent="0.25">
      <c r="A114" s="260" t="s">
        <v>85</v>
      </c>
      <c r="B114" s="261" t="s">
        <v>184</v>
      </c>
      <c r="C114" s="262" t="s">
        <v>1124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7" s="149" customFormat="1" x14ac:dyDescent="0.25">
      <c r="A115" s="260" t="s">
        <v>86</v>
      </c>
      <c r="B115" s="261" t="s">
        <v>185</v>
      </c>
      <c r="C115" s="262" t="s">
        <v>1124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7" s="149" customFormat="1" x14ac:dyDescent="0.25">
      <c r="A116" s="260" t="s">
        <v>87</v>
      </c>
      <c r="B116" s="261" t="s">
        <v>181</v>
      </c>
      <c r="C116" s="262" t="s">
        <v>1124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7" s="149" customFormat="1" x14ac:dyDescent="0.25">
      <c r="A117" s="260" t="s">
        <v>88</v>
      </c>
      <c r="B117" s="261" t="s">
        <v>172</v>
      </c>
      <c r="C117" s="262" t="s">
        <v>1124</v>
      </c>
      <c r="D117" s="263"/>
      <c r="E117" s="264"/>
      <c r="F117" s="583"/>
      <c r="G117" s="264"/>
      <c r="H117" s="263">
        <v>33.659999999999997</v>
      </c>
      <c r="I117" s="264">
        <v>13</v>
      </c>
      <c r="J117" s="262"/>
      <c r="K117" s="262"/>
      <c r="L117" s="262"/>
    </row>
    <row r="118" spans="1:17" s="149" customFormat="1" x14ac:dyDescent="0.25">
      <c r="A118" s="260" t="s">
        <v>89</v>
      </c>
      <c r="B118" s="261" t="s">
        <v>173</v>
      </c>
      <c r="C118" s="262" t="s">
        <v>1124</v>
      </c>
      <c r="D118" s="263"/>
      <c r="E118" s="264"/>
      <c r="F118" s="583"/>
      <c r="G118" s="264"/>
      <c r="H118" s="263">
        <v>33.659999999999997</v>
      </c>
      <c r="I118" s="264">
        <v>18</v>
      </c>
      <c r="J118" s="262"/>
      <c r="K118" s="262"/>
      <c r="L118" s="262"/>
    </row>
    <row r="119" spans="1:17" s="149" customFormat="1" x14ac:dyDescent="0.25">
      <c r="A119" s="260" t="s">
        <v>90</v>
      </c>
      <c r="B119" s="261" t="s">
        <v>174</v>
      </c>
      <c r="C119" s="262" t="s">
        <v>1124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7" s="149" customFormat="1" x14ac:dyDescent="0.25">
      <c r="A120" s="260" t="s">
        <v>91</v>
      </c>
      <c r="B120" s="261" t="s">
        <v>182</v>
      </c>
      <c r="C120" s="262" t="s">
        <v>1124</v>
      </c>
      <c r="D120" s="263"/>
      <c r="E120" s="264"/>
      <c r="F120" s="583"/>
      <c r="G120" s="264"/>
      <c r="H120" s="263">
        <v>33.659999999999997</v>
      </c>
      <c r="I120" s="264">
        <v>7</v>
      </c>
      <c r="J120" s="262"/>
      <c r="K120" s="262"/>
      <c r="L120" s="262"/>
    </row>
    <row r="121" spans="1:17" s="149" customFormat="1" x14ac:dyDescent="0.25">
      <c r="A121" s="260" t="s">
        <v>92</v>
      </c>
      <c r="B121" s="261" t="s">
        <v>186</v>
      </c>
      <c r="C121" s="262" t="s">
        <v>1124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7" s="149" customFormat="1" x14ac:dyDescent="0.25">
      <c r="A122" s="260" t="s">
        <v>93</v>
      </c>
      <c r="B122" s="261" t="s">
        <v>183</v>
      </c>
      <c r="C122" s="262" t="s">
        <v>1124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7" s="149" customFormat="1" x14ac:dyDescent="0.25">
      <c r="A123" s="260" t="s">
        <v>103</v>
      </c>
      <c r="B123" s="261" t="s">
        <v>194</v>
      </c>
      <c r="C123" s="262" t="s">
        <v>1130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7" s="149" customFormat="1" ht="26.25" x14ac:dyDescent="0.25">
      <c r="A124" s="260" t="s">
        <v>983</v>
      </c>
      <c r="B124" s="261" t="s">
        <v>981</v>
      </c>
      <c r="C124" s="262" t="s">
        <v>1124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7" s="149" customFormat="1" x14ac:dyDescent="0.25">
      <c r="A125" s="260" t="s">
        <v>980</v>
      </c>
      <c r="B125" s="261" t="s">
        <v>196</v>
      </c>
      <c r="C125" s="262" t="s">
        <v>1130</v>
      </c>
      <c r="D125" s="263"/>
      <c r="E125" s="264"/>
      <c r="F125" s="583"/>
      <c r="G125" s="264"/>
      <c r="H125" s="263">
        <v>50.49</v>
      </c>
      <c r="I125" s="264">
        <v>5</v>
      </c>
      <c r="J125" s="262"/>
      <c r="K125" s="262"/>
      <c r="L125" s="262"/>
    </row>
    <row r="126" spans="1:17" s="149" customFormat="1" x14ac:dyDescent="0.25">
      <c r="A126" s="260" t="s">
        <v>1076</v>
      </c>
      <c r="B126" s="261" t="s">
        <v>166</v>
      </c>
      <c r="C126" s="262" t="s">
        <v>1130</v>
      </c>
      <c r="D126" s="263"/>
      <c r="E126" s="264"/>
      <c r="F126" s="583"/>
      <c r="G126" s="264"/>
      <c r="H126" s="263">
        <v>35.26</v>
      </c>
      <c r="I126" s="264">
        <v>23</v>
      </c>
      <c r="J126" s="262"/>
      <c r="K126" s="262"/>
      <c r="L126" s="262"/>
    </row>
    <row r="127" spans="1:17" s="149" customFormat="1" x14ac:dyDescent="0.25">
      <c r="A127" s="267" t="s">
        <v>1077</v>
      </c>
      <c r="B127" s="268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5"/>
      <c r="L127" s="245"/>
      <c r="M127" s="184"/>
      <c r="N127" s="184"/>
      <c r="O127" s="184"/>
      <c r="P127" s="184"/>
      <c r="Q127" s="184"/>
    </row>
    <row r="128" spans="1:17" s="149" customFormat="1" x14ac:dyDescent="0.25">
      <c r="A128" s="267" t="s">
        <v>1075</v>
      </c>
      <c r="B128" s="268" t="s">
        <v>192</v>
      </c>
      <c r="C128" s="245"/>
      <c r="D128" s="269"/>
      <c r="E128" s="270"/>
      <c r="F128" s="544"/>
      <c r="G128" s="270"/>
      <c r="H128" s="269"/>
      <c r="I128" s="270"/>
      <c r="J128" s="245"/>
      <c r="K128" s="245"/>
      <c r="L128" s="245"/>
      <c r="M128" s="184"/>
      <c r="N128" s="184"/>
      <c r="O128" s="184"/>
      <c r="P128" s="184"/>
      <c r="Q128" s="184"/>
    </row>
    <row r="129" spans="1:17" s="149" customFormat="1" x14ac:dyDescent="0.25">
      <c r="A129" s="260" t="s">
        <v>1066</v>
      </c>
      <c r="B129" s="261" t="s">
        <v>139</v>
      </c>
      <c r="C129" s="262" t="s">
        <v>1113</v>
      </c>
      <c r="D129" s="263"/>
      <c r="E129" s="264"/>
      <c r="F129" s="583"/>
      <c r="G129" s="264"/>
      <c r="H129" s="263">
        <v>42.74</v>
      </c>
      <c r="I129" s="264">
        <v>37</v>
      </c>
      <c r="J129" s="262"/>
      <c r="K129" s="262"/>
      <c r="L129" s="262"/>
    </row>
    <row r="130" spans="1:17" s="149" customFormat="1" x14ac:dyDescent="0.25">
      <c r="A130" s="260" t="s">
        <v>64</v>
      </c>
      <c r="B130" s="261" t="s">
        <v>191</v>
      </c>
      <c r="C130" s="266" t="s">
        <v>1130</v>
      </c>
      <c r="D130" s="263"/>
      <c r="E130" s="264"/>
      <c r="F130" s="583"/>
      <c r="G130" s="264"/>
      <c r="H130" s="263">
        <v>65.7</v>
      </c>
      <c r="I130" s="264">
        <v>80</v>
      </c>
      <c r="J130" s="262"/>
      <c r="K130" s="262"/>
      <c r="L130" s="262"/>
    </row>
    <row r="131" spans="1:17" s="149" customFormat="1" x14ac:dyDescent="0.25">
      <c r="A131" s="260" t="s">
        <v>1093</v>
      </c>
      <c r="B131" s="261" t="s">
        <v>131</v>
      </c>
      <c r="C131" s="262" t="s">
        <v>1113</v>
      </c>
      <c r="D131" s="263"/>
      <c r="E131" s="264"/>
      <c r="F131" s="583"/>
      <c r="G131" s="264"/>
      <c r="H131" s="263">
        <v>33.659999999999997</v>
      </c>
      <c r="I131" s="264">
        <v>0</v>
      </c>
      <c r="J131" s="262"/>
      <c r="K131" s="262"/>
      <c r="L131" s="262"/>
    </row>
    <row r="132" spans="1:17" s="149" customFormat="1" x14ac:dyDescent="0.25">
      <c r="A132" s="260" t="s">
        <v>1092</v>
      </c>
      <c r="B132" s="261" t="s">
        <v>133</v>
      </c>
      <c r="C132" s="262" t="s">
        <v>1113</v>
      </c>
      <c r="D132" s="263"/>
      <c r="E132" s="264"/>
      <c r="F132" s="583"/>
      <c r="G132" s="264"/>
      <c r="H132" s="263">
        <v>42.2</v>
      </c>
      <c r="I132" s="264">
        <v>36</v>
      </c>
      <c r="J132" s="262"/>
      <c r="K132" s="262"/>
      <c r="L132" s="262"/>
    </row>
    <row r="133" spans="1:17" s="149" customFormat="1" x14ac:dyDescent="0.25">
      <c r="A133" s="346" t="s">
        <v>309</v>
      </c>
      <c r="B133" s="261" t="s">
        <v>135</v>
      </c>
      <c r="C133" s="262" t="s">
        <v>1113</v>
      </c>
      <c r="D133" s="263"/>
      <c r="E133" s="264"/>
      <c r="F133" s="583"/>
      <c r="G133" s="264"/>
      <c r="H133" s="263">
        <v>1007.3</v>
      </c>
      <c r="I133" s="264">
        <v>1351</v>
      </c>
      <c r="J133" s="262"/>
      <c r="K133" s="262"/>
      <c r="L133" s="262"/>
    </row>
    <row r="134" spans="1:17" s="149" customFormat="1" x14ac:dyDescent="0.25">
      <c r="A134" s="346" t="s">
        <v>1091</v>
      </c>
      <c r="B134" s="261" t="s">
        <v>138</v>
      </c>
      <c r="C134" s="262" t="s">
        <v>1113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7" s="149" customFormat="1" x14ac:dyDescent="0.25">
      <c r="A135" s="260" t="s">
        <v>1090</v>
      </c>
      <c r="B135" s="261" t="s">
        <v>141</v>
      </c>
      <c r="C135" s="262" t="s">
        <v>1113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7" s="149" customFormat="1" x14ac:dyDescent="0.25">
      <c r="A136" s="260" t="s">
        <v>1089</v>
      </c>
      <c r="B136" s="261" t="s">
        <v>143</v>
      </c>
      <c r="C136" s="266" t="s">
        <v>1113</v>
      </c>
      <c r="D136" s="263"/>
      <c r="E136" s="264"/>
      <c r="F136" s="583"/>
      <c r="G136" s="264"/>
      <c r="H136" s="263">
        <v>33.659999999999997</v>
      </c>
      <c r="I136" s="264">
        <v>3</v>
      </c>
      <c r="J136" s="262"/>
      <c r="K136" s="262"/>
      <c r="L136" s="262"/>
    </row>
    <row r="137" spans="1:17" s="149" customFormat="1" x14ac:dyDescent="0.25">
      <c r="A137" s="260" t="s">
        <v>1088</v>
      </c>
      <c r="B137" s="261" t="s">
        <v>145</v>
      </c>
      <c r="C137" s="262" t="s">
        <v>1113</v>
      </c>
      <c r="D137" s="263"/>
      <c r="E137" s="264"/>
      <c r="F137" s="583"/>
      <c r="G137" s="264"/>
      <c r="H137" s="263">
        <v>103.64</v>
      </c>
      <c r="I137" s="264">
        <v>142</v>
      </c>
      <c r="J137" s="262"/>
      <c r="K137" s="262"/>
      <c r="L137" s="262"/>
    </row>
    <row r="138" spans="1:17" s="149" customFormat="1" x14ac:dyDescent="0.25">
      <c r="A138" s="260" t="s">
        <v>1086</v>
      </c>
      <c r="B138" s="261" t="s">
        <v>147</v>
      </c>
      <c r="C138" s="262" t="s">
        <v>1113</v>
      </c>
      <c r="D138" s="263"/>
      <c r="E138" s="264"/>
      <c r="F138" s="583"/>
      <c r="G138" s="264"/>
      <c r="H138" s="263">
        <v>89.36</v>
      </c>
      <c r="I138" s="264">
        <v>120</v>
      </c>
      <c r="J138" s="262"/>
      <c r="K138" s="262"/>
      <c r="L138" s="262"/>
    </row>
    <row r="139" spans="1:17" s="149" customFormat="1" x14ac:dyDescent="0.25">
      <c r="A139" s="267" t="s">
        <v>176</v>
      </c>
      <c r="B139" s="662" t="s">
        <v>165</v>
      </c>
      <c r="C139" s="245" t="s">
        <v>1136</v>
      </c>
      <c r="D139" s="269"/>
      <c r="E139" s="270"/>
      <c r="F139" s="544"/>
      <c r="G139" s="270"/>
      <c r="H139" s="269">
        <v>135.44</v>
      </c>
      <c r="I139" s="270">
        <v>191</v>
      </c>
      <c r="J139" s="245"/>
      <c r="K139" s="245"/>
      <c r="L139" s="245"/>
      <c r="M139" s="184"/>
      <c r="N139" s="184"/>
      <c r="O139" s="184"/>
      <c r="P139" s="184"/>
      <c r="Q139" s="184"/>
    </row>
    <row r="140" spans="1:17" s="199" customFormat="1" x14ac:dyDescent="0.25">
      <c r="A140" s="280" t="s">
        <v>433</v>
      </c>
      <c r="B140" s="302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</row>
    <row r="141" spans="1:17" s="149" customFormat="1" x14ac:dyDescent="0.25">
      <c r="A141" s="267" t="s">
        <v>107</v>
      </c>
      <c r="B141" s="268">
        <v>67</v>
      </c>
      <c r="C141" s="289"/>
      <c r="D141" s="269"/>
      <c r="E141" s="270"/>
      <c r="F141" s="544"/>
      <c r="G141" s="270"/>
      <c r="H141" s="269"/>
      <c r="I141" s="270"/>
      <c r="J141" s="245"/>
      <c r="K141" s="245"/>
      <c r="L141" s="245"/>
      <c r="M141" s="184"/>
      <c r="N141" s="184"/>
      <c r="O141" s="184"/>
      <c r="P141" s="184"/>
      <c r="Q141" s="184"/>
    </row>
    <row r="142" spans="1:17" s="149" customFormat="1" x14ac:dyDescent="0.25">
      <c r="A142" s="267" t="s">
        <v>109</v>
      </c>
      <c r="B142" s="671">
        <v>95</v>
      </c>
      <c r="C142" s="245"/>
      <c r="D142" s="269"/>
      <c r="E142" s="270"/>
      <c r="F142" s="544"/>
      <c r="G142" s="270"/>
      <c r="H142" s="269"/>
      <c r="I142" s="270"/>
      <c r="J142" s="245"/>
      <c r="K142" s="245"/>
      <c r="L142" s="245"/>
      <c r="M142" s="184"/>
      <c r="N142" s="184"/>
      <c r="O142" s="184"/>
      <c r="P142" s="184"/>
      <c r="Q142" s="184"/>
    </row>
    <row r="143" spans="1:17" s="199" customFormat="1" x14ac:dyDescent="0.25">
      <c r="A143" s="247" t="s">
        <v>432</v>
      </c>
      <c r="B143" s="663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</row>
    <row r="144" spans="1:17" s="149" customFormat="1" x14ac:dyDescent="0.25">
      <c r="A144" s="260" t="s">
        <v>1137</v>
      </c>
      <c r="B144" s="661">
        <v>61</v>
      </c>
      <c r="C144" s="266">
        <v>43141</v>
      </c>
      <c r="D144" s="263"/>
      <c r="E144" s="264"/>
      <c r="F144" s="583"/>
      <c r="G144" s="264"/>
      <c r="H144" s="263">
        <v>35.18</v>
      </c>
      <c r="I144" s="264">
        <v>50</v>
      </c>
      <c r="J144" s="262"/>
      <c r="K144" s="262"/>
      <c r="L144" s="262"/>
    </row>
    <row r="145" spans="1:88" s="199" customFormat="1" x14ac:dyDescent="0.25">
      <c r="A145" s="280" t="s">
        <v>431</v>
      </c>
      <c r="B145" s="302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</row>
    <row r="146" spans="1:88" s="149" customFormat="1" ht="26.25" x14ac:dyDescent="0.25">
      <c r="A146" s="267" t="s">
        <v>40</v>
      </c>
      <c r="B146" s="662">
        <v>95</v>
      </c>
      <c r="C146" s="289"/>
      <c r="D146" s="269"/>
      <c r="E146" s="270"/>
      <c r="F146" s="544"/>
      <c r="G146" s="270"/>
      <c r="H146" s="269"/>
      <c r="I146" s="270"/>
      <c r="J146" s="245"/>
      <c r="K146" s="245"/>
      <c r="L146" s="245"/>
      <c r="M146" s="184"/>
      <c r="N146" s="184"/>
      <c r="O146" s="184"/>
      <c r="P146" s="184"/>
      <c r="Q146" s="184"/>
    </row>
    <row r="147" spans="1:88" s="199" customFormat="1" ht="26.25" x14ac:dyDescent="0.25">
      <c r="A147" s="280" t="s">
        <v>430</v>
      </c>
      <c r="B147" s="302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</row>
    <row r="148" spans="1:88" s="149" customFormat="1" x14ac:dyDescent="0.25">
      <c r="A148" s="267" t="s">
        <v>355</v>
      </c>
      <c r="B148" s="245"/>
      <c r="C148" s="289"/>
      <c r="D148" s="269"/>
      <c r="E148" s="270"/>
      <c r="F148" s="544"/>
      <c r="G148" s="270"/>
      <c r="H148" s="269"/>
      <c r="I148" s="270"/>
      <c r="J148" s="245"/>
      <c r="K148" s="245"/>
      <c r="L148" s="245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184" customFormat="1" ht="46.5" customHeigh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88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13" sqref="F1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1127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78"/>
      <c r="B4" s="679"/>
      <c r="C4" s="679"/>
      <c r="D4" s="679"/>
      <c r="E4" s="679"/>
      <c r="F4" s="679"/>
      <c r="G4" s="68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231851.72</v>
      </c>
      <c r="D13" s="34"/>
      <c r="E13" s="35" t="s">
        <v>33</v>
      </c>
      <c r="F13" s="34"/>
      <c r="G13" s="42">
        <v>22665.4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22517</v>
      </c>
      <c r="D15" s="34"/>
      <c r="E15" s="35" t="s">
        <v>10</v>
      </c>
      <c r="F15" s="34"/>
      <c r="G15" s="42">
        <v>6681.97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4764</v>
      </c>
      <c r="D17" s="34"/>
      <c r="E17" s="35" t="s">
        <v>278</v>
      </c>
      <c r="F17" s="34"/>
      <c r="G17" s="42">
        <v>3666.43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G22" sqref="G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2146</v>
      </c>
      <c r="D3" s="328"/>
      <c r="E3" s="763"/>
      <c r="F3" s="620">
        <v>882.49</v>
      </c>
      <c r="G3" s="763">
        <v>1251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2147</v>
      </c>
      <c r="D4" s="269"/>
      <c r="E4" s="757"/>
      <c r="F4" s="544">
        <v>131.81</v>
      </c>
      <c r="G4" s="757">
        <v>98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2145</v>
      </c>
      <c r="D5" s="328"/>
      <c r="E5" s="763"/>
      <c r="F5" s="620">
        <v>121.74</v>
      </c>
      <c r="G5" s="763">
        <v>81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2150</v>
      </c>
      <c r="D6" s="269"/>
      <c r="E6" s="757"/>
      <c r="F6" s="544">
        <v>156.72</v>
      </c>
      <c r="G6" s="757">
        <v>134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2149</v>
      </c>
      <c r="D7" s="269"/>
      <c r="E7" s="757"/>
      <c r="F7" s="544">
        <v>86.78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2148</v>
      </c>
      <c r="D8" s="269"/>
      <c r="E8" s="757"/>
      <c r="F8" s="544">
        <v>134.72999999999999</v>
      </c>
      <c r="G8" s="757">
        <v>102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2148</v>
      </c>
      <c r="D9" s="269"/>
      <c r="E9" s="757"/>
      <c r="F9" s="544">
        <v>102.79</v>
      </c>
      <c r="G9" s="757">
        <v>54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2148</v>
      </c>
      <c r="D10" s="269"/>
      <c r="E10" s="757"/>
      <c r="F10" s="544">
        <v>76.760000000000005</v>
      </c>
      <c r="G10" s="757">
        <v>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2151</v>
      </c>
      <c r="D11" s="269"/>
      <c r="E11" s="757"/>
      <c r="F11" s="544">
        <v>98.31</v>
      </c>
      <c r="G11" s="757">
        <v>24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2147</v>
      </c>
      <c r="D12" s="269"/>
      <c r="E12" s="757"/>
      <c r="F12" s="544">
        <v>69.06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2147</v>
      </c>
      <c r="D13" s="269"/>
      <c r="E13" s="757"/>
      <c r="F13" s="544">
        <v>316.20999999999998</v>
      </c>
      <c r="G13" s="757">
        <v>386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2150</v>
      </c>
      <c r="D14" s="269"/>
      <c r="E14" s="757"/>
      <c r="F14" s="544">
        <v>76.91</v>
      </c>
      <c r="G14" s="757">
        <v>12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2147</v>
      </c>
      <c r="D15" s="269"/>
      <c r="E15" s="757"/>
      <c r="F15" s="544">
        <v>163.19</v>
      </c>
      <c r="G15" s="757">
        <v>147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2154</v>
      </c>
      <c r="D16" s="269"/>
      <c r="E16" s="757"/>
      <c r="F16" s="544">
        <v>62</v>
      </c>
      <c r="G16" s="757">
        <v>38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2154</v>
      </c>
      <c r="D17" s="269"/>
      <c r="E17" s="757"/>
      <c r="F17" s="544">
        <v>71.180000000000007</v>
      </c>
      <c r="G17" s="757">
        <v>5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191.51</v>
      </c>
      <c r="E19" s="546">
        <f>1590+11</f>
        <v>1601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31.6</v>
      </c>
      <c r="E21" s="546">
        <v>361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17.02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64.11</v>
      </c>
      <c r="E23" s="546">
        <v>817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642.5</v>
      </c>
      <c r="E24" s="546">
        <f>6760+35</f>
        <v>6795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75.59</v>
      </c>
      <c r="E26" s="546">
        <v>980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17.38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14.57</v>
      </c>
      <c r="E28" s="546">
        <v>108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206.03</v>
      </c>
      <c r="E29" s="546">
        <f>1882+11</f>
        <v>1893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579.72</v>
      </c>
      <c r="E30" s="546">
        <v>7627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17.37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21.91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419.21</v>
      </c>
      <c r="E33" s="546">
        <f>3507+25</f>
        <v>3532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33.93</v>
      </c>
      <c r="E35" s="546">
        <v>386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15.78</v>
      </c>
      <c r="E36" s="546">
        <v>125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3538.21</v>
      </c>
      <c r="E37" s="546">
        <f>59100+134</f>
        <v>59234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11.68</v>
      </c>
      <c r="E38" s="546">
        <v>60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386.92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19.88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14.71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17.559999999999999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1215.52</v>
      </c>
      <c r="E43" s="546">
        <f>13680+72</f>
        <v>13752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8.7899999999999991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105.86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45.2</v>
      </c>
      <c r="E48" s="546">
        <v>543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249.03</v>
      </c>
      <c r="E49" s="546">
        <f>2032+15</f>
        <v>2047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9.94</v>
      </c>
      <c r="E50" s="546">
        <v>42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315.38</v>
      </c>
      <c r="E51" s="546">
        <f>3526+15</f>
        <v>3541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105.18</v>
      </c>
      <c r="E52" s="546">
        <v>1328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118.52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946.92</v>
      </c>
      <c r="E54" s="546">
        <f>12240+47</f>
        <v>12287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6.88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33.200000000000003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1217.73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449.37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291.13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206.89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835.86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78.27</v>
      </c>
      <c r="E64" s="546">
        <f>517+2</f>
        <v>519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675.41</v>
      </c>
      <c r="E65" s="546">
        <f>9594+26</f>
        <v>9620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300.54000000000002</v>
      </c>
      <c r="E66" s="546">
        <f>880+22</f>
        <v>902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240.67</v>
      </c>
      <c r="E67" s="546">
        <f>2438+13</f>
        <v>2451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2153</v>
      </c>
      <c r="D69" s="269">
        <v>255</v>
      </c>
      <c r="E69" s="757">
        <v>2050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176</v>
      </c>
      <c r="E70" s="757">
        <v>1103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101</v>
      </c>
      <c r="E71" s="757">
        <v>389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53</v>
      </c>
      <c r="E72" s="757">
        <v>121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48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252</v>
      </c>
      <c r="E74" s="757">
        <v>1827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143</v>
      </c>
      <c r="E75" s="757">
        <v>1039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64</v>
      </c>
      <c r="E76" s="757">
        <v>223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79</v>
      </c>
      <c r="E77" s="757">
        <v>173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78</v>
      </c>
      <c r="E79" s="757">
        <v>363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178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1642</v>
      </c>
      <c r="E81" s="757">
        <v>10080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101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557</v>
      </c>
      <c r="E85" s="757">
        <v>3900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538</v>
      </c>
      <c r="E86" s="757">
        <v>4320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296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196</v>
      </c>
      <c r="E88" s="757">
        <v>718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119</v>
      </c>
      <c r="E90" s="757">
        <v>355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178</v>
      </c>
      <c r="E91" s="757">
        <v>1318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306.7</v>
      </c>
      <c r="E92" s="757">
        <v>2357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1941</v>
      </c>
      <c r="E93" s="757">
        <v>19800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245</v>
      </c>
      <c r="E94" s="757">
        <v>1760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2153</v>
      </c>
      <c r="D96" s="269"/>
      <c r="E96" s="757"/>
      <c r="F96" s="544"/>
      <c r="G96" s="757"/>
      <c r="H96" s="269">
        <v>74.010000000000005</v>
      </c>
      <c r="I96" s="757">
        <v>85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212.6</v>
      </c>
      <c r="I97" s="757">
        <v>297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13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52.65</v>
      </c>
      <c r="I99" s="757">
        <v>45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43.04</v>
      </c>
      <c r="I100" s="757">
        <v>27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56.39</v>
      </c>
      <c r="I101" s="757">
        <v>52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48.91</v>
      </c>
      <c r="I102" s="757">
        <v>38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71.34</v>
      </c>
      <c r="I104" s="757">
        <v>80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42.5</v>
      </c>
      <c r="I108" s="757">
        <v>26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55.85</v>
      </c>
      <c r="I109" s="757">
        <v>51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44.64</v>
      </c>
      <c r="I110" s="757">
        <v>30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7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861.47</v>
      </c>
      <c r="I115" s="757">
        <v>1153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285.42</v>
      </c>
      <c r="I116" s="757">
        <v>400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18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208.36</v>
      </c>
      <c r="I122" s="757">
        <v>291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60.14</v>
      </c>
      <c r="I123" s="757">
        <v>25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47.84</v>
      </c>
      <c r="I124" s="757">
        <v>36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2144</v>
      </c>
      <c r="D127" s="269"/>
      <c r="E127" s="757"/>
      <c r="F127" s="544"/>
      <c r="G127" s="757"/>
      <c r="H127" s="269">
        <v>44.11</v>
      </c>
      <c r="I127" s="757">
        <v>29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2153</v>
      </c>
      <c r="D128" s="269"/>
      <c r="E128" s="757"/>
      <c r="F128" s="544"/>
      <c r="G128" s="757"/>
      <c r="H128" s="269">
        <v>179.37</v>
      </c>
      <c r="I128" s="757">
        <v>250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2144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2144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2144</v>
      </c>
      <c r="D131" s="269"/>
      <c r="E131" s="757"/>
      <c r="F131" s="544"/>
      <c r="G131" s="757"/>
      <c r="H131" s="269">
        <v>2278.25</v>
      </c>
      <c r="I131" s="757">
        <v>3005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2144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2144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2144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2144</v>
      </c>
      <c r="D135" s="269"/>
      <c r="E135" s="757"/>
      <c r="F135" s="544"/>
      <c r="G135" s="757"/>
      <c r="H135" s="269">
        <v>384.87</v>
      </c>
      <c r="I135" s="757">
        <v>530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2144</v>
      </c>
      <c r="D136" s="269"/>
      <c r="E136" s="757"/>
      <c r="F136" s="544"/>
      <c r="G136" s="757"/>
      <c r="H136" s="269">
        <v>295.37</v>
      </c>
      <c r="I136" s="757">
        <v>413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2144</v>
      </c>
      <c r="D137" s="269"/>
      <c r="E137" s="757"/>
      <c r="F137" s="544"/>
      <c r="G137" s="757"/>
      <c r="H137" s="269">
        <v>316.02</v>
      </c>
      <c r="I137" s="757">
        <v>440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2155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2160</v>
      </c>
      <c r="D145" s="269"/>
      <c r="E145" s="757"/>
      <c r="F145" s="544"/>
      <c r="G145" s="757"/>
      <c r="H145" s="269">
        <v>106.29</v>
      </c>
      <c r="I145" s="757">
        <v>181070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42" activePane="bottomLeft" state="frozen"/>
      <selection pane="bottomLeft" activeCell="C64" sqref="C64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6.140625" style="245" customWidth="1"/>
    <col min="12" max="12" width="17.7109375" style="245" customWidth="1"/>
    <col min="13" max="88" width="9.140625" style="184"/>
    <col min="89" max="16384" width="9.140625" style="147"/>
  </cols>
  <sheetData>
    <row r="1" spans="1:88" s="184" customFormat="1" x14ac:dyDescent="0.25">
      <c r="A1" s="240" t="s">
        <v>0</v>
      </c>
      <c r="B1" s="241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88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88" s="148" customFormat="1" x14ac:dyDescent="0.25">
      <c r="A3" s="346" t="s">
        <v>339</v>
      </c>
      <c r="B3" s="255">
        <v>3038136345</v>
      </c>
      <c r="C3" s="256" t="s">
        <v>1101</v>
      </c>
      <c r="D3" s="257"/>
      <c r="E3" s="258"/>
      <c r="F3" s="586">
        <v>2032.32</v>
      </c>
      <c r="G3" s="258">
        <v>3020</v>
      </c>
      <c r="H3" s="257"/>
      <c r="I3" s="258"/>
      <c r="J3" s="256" t="s">
        <v>10</v>
      </c>
      <c r="K3" s="256"/>
      <c r="L3" s="256"/>
    </row>
    <row r="4" spans="1:88" s="149" customFormat="1" x14ac:dyDescent="0.25">
      <c r="A4" s="260" t="s">
        <v>13</v>
      </c>
      <c r="B4" s="261">
        <v>3026210376</v>
      </c>
      <c r="C4" s="262" t="s">
        <v>1102</v>
      </c>
      <c r="D4" s="263"/>
      <c r="E4" s="264"/>
      <c r="F4" s="583" t="s">
        <v>1103</v>
      </c>
      <c r="G4" s="264">
        <v>1136</v>
      </c>
      <c r="H4" s="263"/>
      <c r="I4" s="264"/>
      <c r="J4" s="262" t="s">
        <v>10</v>
      </c>
      <c r="K4" s="262"/>
      <c r="L4" s="262"/>
    </row>
    <row r="5" spans="1:88" s="148" customFormat="1" x14ac:dyDescent="0.25">
      <c r="A5" s="254" t="s">
        <v>34</v>
      </c>
      <c r="B5" s="255">
        <v>3039472917</v>
      </c>
      <c r="C5" s="256" t="s">
        <v>1101</v>
      </c>
      <c r="D5" s="257"/>
      <c r="E5" s="258"/>
      <c r="F5" s="586">
        <v>711.79</v>
      </c>
      <c r="G5" s="258">
        <v>1011</v>
      </c>
      <c r="H5" s="257"/>
      <c r="I5" s="258"/>
      <c r="J5" s="256" t="s">
        <v>10</v>
      </c>
      <c r="K5" s="256"/>
      <c r="L5" s="256"/>
    </row>
    <row r="6" spans="1:88" s="149" customFormat="1" x14ac:dyDescent="0.25">
      <c r="A6" s="260" t="s">
        <v>37</v>
      </c>
      <c r="B6" s="261">
        <v>4005211270</v>
      </c>
      <c r="C6" s="262" t="s">
        <v>1104</v>
      </c>
      <c r="D6" s="263"/>
      <c r="E6" s="264"/>
      <c r="F6" s="583">
        <v>346.3</v>
      </c>
      <c r="G6" s="264">
        <v>3452</v>
      </c>
      <c r="H6" s="263"/>
      <c r="I6" s="264"/>
      <c r="J6" s="262" t="s">
        <v>10</v>
      </c>
      <c r="K6" s="262"/>
      <c r="L6" s="262"/>
    </row>
    <row r="7" spans="1:88" s="149" customFormat="1" ht="13.5" customHeight="1" x14ac:dyDescent="0.25">
      <c r="A7" s="260" t="s">
        <v>41</v>
      </c>
      <c r="B7" s="261">
        <v>3044004323</v>
      </c>
      <c r="C7" s="262" t="s">
        <v>1101</v>
      </c>
      <c r="D7" s="263"/>
      <c r="E7" s="264"/>
      <c r="F7" s="583">
        <v>256.33</v>
      </c>
      <c r="G7" s="264">
        <v>333</v>
      </c>
      <c r="H7" s="263"/>
      <c r="I7" s="264"/>
      <c r="J7" s="262" t="s">
        <v>10</v>
      </c>
      <c r="K7" s="262"/>
      <c r="L7" s="262"/>
    </row>
    <row r="8" spans="1:88" s="149" customFormat="1" ht="24" customHeight="1" x14ac:dyDescent="0.25">
      <c r="A8" s="260" t="s">
        <v>42</v>
      </c>
      <c r="B8" s="261">
        <v>3029257704</v>
      </c>
      <c r="C8" s="262" t="s">
        <v>1101</v>
      </c>
      <c r="D8" s="263"/>
      <c r="E8" s="264"/>
      <c r="F8" s="583">
        <v>121.46</v>
      </c>
      <c r="G8" s="264">
        <v>105</v>
      </c>
      <c r="H8" s="263"/>
      <c r="I8" s="264"/>
      <c r="J8" s="262" t="s">
        <v>10</v>
      </c>
      <c r="K8" s="262"/>
      <c r="L8" s="262"/>
    </row>
    <row r="9" spans="1:88" s="149" customFormat="1" x14ac:dyDescent="0.25">
      <c r="A9" s="260" t="s">
        <v>44</v>
      </c>
      <c r="B9" s="261">
        <v>3039640691</v>
      </c>
      <c r="C9" s="262" t="s">
        <v>1099</v>
      </c>
      <c r="D9" s="263"/>
      <c r="E9" s="264"/>
      <c r="F9" s="583">
        <v>527.52</v>
      </c>
      <c r="G9" s="264">
        <v>729</v>
      </c>
      <c r="H9" s="263"/>
      <c r="I9" s="264"/>
      <c r="J9" s="262" t="s">
        <v>10</v>
      </c>
      <c r="K9" s="262"/>
      <c r="L9" s="262"/>
    </row>
    <row r="10" spans="1:88" s="149" customFormat="1" x14ac:dyDescent="0.25">
      <c r="A10" s="260" t="s">
        <v>43</v>
      </c>
      <c r="B10" s="261">
        <v>3039782225</v>
      </c>
      <c r="C10" s="262" t="s">
        <v>1099</v>
      </c>
      <c r="D10" s="263"/>
      <c r="E10" s="264"/>
      <c r="F10" s="583">
        <v>487.35</v>
      </c>
      <c r="G10" s="264">
        <v>668</v>
      </c>
      <c r="H10" s="263"/>
      <c r="I10" s="264"/>
      <c r="J10" s="262" t="s">
        <v>10</v>
      </c>
      <c r="K10" s="262"/>
      <c r="L10" s="262"/>
    </row>
    <row r="11" spans="1:88" s="149" customFormat="1" x14ac:dyDescent="0.25">
      <c r="A11" s="260" t="s">
        <v>610</v>
      </c>
      <c r="B11" s="261">
        <v>3039618715</v>
      </c>
      <c r="C11" s="271" t="s">
        <v>1100</v>
      </c>
      <c r="D11" s="263"/>
      <c r="E11" s="264"/>
      <c r="F11" s="583">
        <v>63.49</v>
      </c>
      <c r="G11" s="264">
        <v>7</v>
      </c>
      <c r="H11" s="263"/>
      <c r="I11" s="264"/>
      <c r="J11" s="262" t="s">
        <v>10</v>
      </c>
      <c r="K11" s="262"/>
      <c r="L11" s="262"/>
    </row>
    <row r="12" spans="1:88" s="149" customFormat="1" x14ac:dyDescent="0.25">
      <c r="A12" s="260" t="s">
        <v>46</v>
      </c>
      <c r="B12" s="261">
        <v>3023189549</v>
      </c>
      <c r="C12" s="262" t="s">
        <v>1102</v>
      </c>
      <c r="D12" s="263"/>
      <c r="E12" s="264"/>
      <c r="F12" s="583">
        <v>90.75</v>
      </c>
      <c r="G12" s="264">
        <v>66</v>
      </c>
      <c r="H12" s="263"/>
      <c r="I12" s="264"/>
      <c r="J12" s="262" t="s">
        <v>10</v>
      </c>
      <c r="K12" s="262"/>
      <c r="L12" s="262"/>
    </row>
    <row r="13" spans="1:88" s="149" customFormat="1" x14ac:dyDescent="0.25">
      <c r="A13" s="260" t="s">
        <v>47</v>
      </c>
      <c r="B13" s="261">
        <v>3034878837</v>
      </c>
      <c r="C13" s="262" t="s">
        <v>1102</v>
      </c>
      <c r="D13" s="263"/>
      <c r="E13" s="264"/>
      <c r="F13" s="583">
        <v>944.64</v>
      </c>
      <c r="G13" s="264">
        <v>1367</v>
      </c>
      <c r="H13" s="263"/>
      <c r="I13" s="264"/>
      <c r="J13" s="262" t="s">
        <v>10</v>
      </c>
      <c r="K13" s="262"/>
      <c r="L13" s="262"/>
    </row>
    <row r="14" spans="1:88" s="149" customFormat="1" x14ac:dyDescent="0.25">
      <c r="A14" s="260" t="s">
        <v>64</v>
      </c>
      <c r="B14" s="261">
        <v>3025670416</v>
      </c>
      <c r="C14" s="262" t="s">
        <v>1104</v>
      </c>
      <c r="D14" s="263"/>
      <c r="E14" s="264"/>
      <c r="F14" s="583">
        <v>178.34</v>
      </c>
      <c r="G14" s="264">
        <v>198</v>
      </c>
      <c r="H14" s="263"/>
      <c r="I14" s="264"/>
      <c r="J14" s="262" t="s">
        <v>10</v>
      </c>
      <c r="K14" s="262"/>
      <c r="L14" s="262"/>
    </row>
    <row r="15" spans="1:88" s="149" customFormat="1" x14ac:dyDescent="0.25">
      <c r="A15" s="260" t="s">
        <v>65</v>
      </c>
      <c r="B15" s="261">
        <v>3023110891</v>
      </c>
      <c r="C15" s="262" t="s">
        <v>1122</v>
      </c>
      <c r="D15" s="263"/>
      <c r="E15" s="264"/>
      <c r="F15" s="583">
        <v>921.68</v>
      </c>
      <c r="G15" s="264">
        <v>10425</v>
      </c>
      <c r="H15" s="263"/>
      <c r="I15" s="264"/>
      <c r="J15" s="262" t="s">
        <v>10</v>
      </c>
      <c r="K15" s="262"/>
      <c r="L15" s="262"/>
    </row>
    <row r="16" spans="1:88" s="149" customFormat="1" x14ac:dyDescent="0.25">
      <c r="A16" s="267" t="s">
        <v>69</v>
      </c>
      <c r="B16" s="268">
        <v>3022125574</v>
      </c>
      <c r="C16" s="245"/>
      <c r="D16" s="269"/>
      <c r="E16" s="270"/>
      <c r="F16" s="544"/>
      <c r="G16" s="270"/>
      <c r="H16" s="269"/>
      <c r="I16" s="270"/>
      <c r="J16" s="245" t="s">
        <v>10</v>
      </c>
      <c r="K16" s="245"/>
      <c r="L16" s="245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</row>
    <row r="17" spans="1:88" s="149" customFormat="1" x14ac:dyDescent="0.25">
      <c r="A17" s="267" t="s">
        <v>68</v>
      </c>
      <c r="B17" s="268">
        <v>3022125841</v>
      </c>
      <c r="C17" s="289"/>
      <c r="D17" s="269"/>
      <c r="E17" s="270"/>
      <c r="F17" s="544"/>
      <c r="G17" s="270"/>
      <c r="H17" s="269"/>
      <c r="I17" s="270"/>
      <c r="J17" s="245" t="s">
        <v>10</v>
      </c>
      <c r="K17" s="245"/>
      <c r="L17" s="245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</row>
    <row r="18" spans="1:88" s="584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88" s="565" customFormat="1" ht="15.75" x14ac:dyDescent="0.25">
      <c r="A19" s="563" t="s">
        <v>756</v>
      </c>
      <c r="B19" s="563">
        <v>5217000077</v>
      </c>
      <c r="C19" s="563" t="s">
        <v>1094</v>
      </c>
      <c r="D19" s="572">
        <v>27.3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88" s="565" customFormat="1" ht="15.75" x14ac:dyDescent="0.25">
      <c r="A20" s="563" t="s">
        <v>831</v>
      </c>
      <c r="B20" s="563">
        <v>5216006440</v>
      </c>
      <c r="C20" s="563" t="s">
        <v>1094</v>
      </c>
      <c r="D20" s="572">
        <v>193.41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88" s="565" customFormat="1" ht="15.75" x14ac:dyDescent="0.25">
      <c r="A21" s="563" t="s">
        <v>830</v>
      </c>
      <c r="B21" s="563">
        <v>5216006441</v>
      </c>
      <c r="C21" s="563" t="s">
        <v>1094</v>
      </c>
      <c r="D21" s="572">
        <v>727.46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88" s="565" customFormat="1" ht="15.75" x14ac:dyDescent="0.25">
      <c r="A22" s="563" t="s">
        <v>855</v>
      </c>
      <c r="B22" s="563">
        <v>5216006442</v>
      </c>
      <c r="C22" s="563" t="s">
        <v>1111</v>
      </c>
      <c r="D22" s="572">
        <v>79.91</v>
      </c>
      <c r="E22" s="564">
        <v>988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88" s="565" customFormat="1" ht="15.75" x14ac:dyDescent="0.25">
      <c r="A23" s="563" t="s">
        <v>828</v>
      </c>
      <c r="B23" s="563">
        <v>5216006443</v>
      </c>
      <c r="C23" s="563" t="s">
        <v>1116</v>
      </c>
      <c r="D23" s="572">
        <v>15.39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88" s="565" customFormat="1" ht="15.75" x14ac:dyDescent="0.25">
      <c r="A24" s="563" t="s">
        <v>873</v>
      </c>
      <c r="B24" s="563">
        <v>5216006444</v>
      </c>
      <c r="C24" s="563" t="s">
        <v>1109</v>
      </c>
      <c r="D24" s="572">
        <v>90.44</v>
      </c>
      <c r="E24" s="564">
        <v>1140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88" s="565" customFormat="1" ht="15.75" x14ac:dyDescent="0.25">
      <c r="A25" s="639" t="s">
        <v>1028</v>
      </c>
      <c r="B25" s="563">
        <v>5216006446</v>
      </c>
      <c r="C25" s="563" t="s">
        <v>1109</v>
      </c>
      <c r="D25" s="572">
        <v>3904.91</v>
      </c>
      <c r="E25" s="564">
        <v>65400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88" s="565" customFormat="1" ht="15.75" x14ac:dyDescent="0.25">
      <c r="A26" s="563" t="s">
        <v>871</v>
      </c>
      <c r="B26" s="563">
        <v>5216006447</v>
      </c>
      <c r="C26" s="563" t="s">
        <v>1116</v>
      </c>
      <c r="D26" s="572">
        <v>203.99</v>
      </c>
      <c r="E26" s="564">
        <v>1963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88" s="565" customFormat="1" ht="15.75" x14ac:dyDescent="0.25">
      <c r="A27" s="563" t="s">
        <v>854</v>
      </c>
      <c r="B27" s="563">
        <v>5216006448</v>
      </c>
      <c r="C27" s="563" t="s">
        <v>1109</v>
      </c>
      <c r="D27" s="572">
        <v>64.05</v>
      </c>
      <c r="E27" s="564">
        <v>300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88" s="565" customFormat="1" ht="15.75" x14ac:dyDescent="0.25">
      <c r="A28" s="563" t="s">
        <v>853</v>
      </c>
      <c r="B28" s="563">
        <v>5216006449</v>
      </c>
      <c r="C28" s="563" t="s">
        <v>1114</v>
      </c>
      <c r="D28" s="572">
        <v>280.94</v>
      </c>
      <c r="E28" s="564">
        <v>1280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88" s="565" customFormat="1" ht="15.75" x14ac:dyDescent="0.25">
      <c r="A29" s="563" t="s">
        <v>859</v>
      </c>
      <c r="B29" s="563">
        <v>5216006450</v>
      </c>
      <c r="C29" s="563" t="s">
        <v>1115</v>
      </c>
      <c r="D29" s="572">
        <v>448.24</v>
      </c>
      <c r="E29" s="564">
        <v>5480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88" s="565" customFormat="1" ht="15.75" x14ac:dyDescent="0.25">
      <c r="A30" s="563" t="s">
        <v>849</v>
      </c>
      <c r="B30" s="563">
        <v>5216006451</v>
      </c>
      <c r="C30" s="563" t="s">
        <v>1114</v>
      </c>
      <c r="D30" s="572">
        <v>819.38</v>
      </c>
      <c r="E30" s="564">
        <v>12711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88" s="565" customFormat="1" ht="17.25" customHeight="1" x14ac:dyDescent="0.25">
      <c r="A31" s="566" t="s">
        <v>856</v>
      </c>
      <c r="B31" s="563">
        <v>5216006452</v>
      </c>
      <c r="C31" s="563" t="s">
        <v>1094</v>
      </c>
      <c r="D31" s="572">
        <v>1322.58</v>
      </c>
      <c r="E31" s="564">
        <v>18420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88" s="565" customFormat="1" ht="27.75" customHeight="1" x14ac:dyDescent="0.25">
      <c r="A32" s="563" t="s">
        <v>872</v>
      </c>
      <c r="B32" s="563">
        <v>5216006453</v>
      </c>
      <c r="C32" s="563" t="s">
        <v>1094</v>
      </c>
      <c r="D32" s="572">
        <v>13.28</v>
      </c>
      <c r="E32" s="564">
        <v>1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88" s="565" customFormat="1" ht="21" customHeight="1" x14ac:dyDescent="0.25">
      <c r="A33" s="563" t="s">
        <v>858</v>
      </c>
      <c r="B33" s="563">
        <v>5216006454</v>
      </c>
      <c r="C33" s="563" t="s">
        <v>1115</v>
      </c>
      <c r="D33" s="572">
        <v>21.42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88" s="565" customFormat="1" ht="21" customHeight="1" x14ac:dyDescent="0.25">
      <c r="A34" s="563" t="s">
        <v>870</v>
      </c>
      <c r="B34" s="563">
        <v>5216006456</v>
      </c>
      <c r="C34" s="563" t="s">
        <v>1119</v>
      </c>
      <c r="D34" s="572">
        <v>274.61</v>
      </c>
      <c r="E34" s="564">
        <v>895</v>
      </c>
      <c r="F34" s="604"/>
      <c r="G34" s="564"/>
      <c r="H34" s="572"/>
      <c r="I34" s="564"/>
      <c r="J34" s="563"/>
      <c r="K34" s="563" t="s">
        <v>793</v>
      </c>
      <c r="L34" s="563">
        <v>5216006456</v>
      </c>
    </row>
    <row r="35" spans="1:88" s="565" customFormat="1" ht="15.75" x14ac:dyDescent="0.25">
      <c r="A35" s="563" t="s">
        <v>851</v>
      </c>
      <c r="B35" s="563">
        <v>5216006457</v>
      </c>
      <c r="C35" s="563" t="s">
        <v>1119</v>
      </c>
      <c r="D35" s="572">
        <v>75.349999999999994</v>
      </c>
      <c r="E35" s="564">
        <v>367</v>
      </c>
      <c r="F35" s="604"/>
      <c r="G35" s="564"/>
      <c r="H35" s="572"/>
      <c r="I35" s="564"/>
      <c r="J35" s="563"/>
      <c r="K35" s="563" t="s">
        <v>794</v>
      </c>
      <c r="L35" s="563">
        <v>5216006457</v>
      </c>
    </row>
    <row r="36" spans="1:88" s="565" customFormat="1" ht="15.75" x14ac:dyDescent="0.25">
      <c r="A36" s="563" t="s">
        <v>829</v>
      </c>
      <c r="B36" s="563">
        <v>5216006458</v>
      </c>
      <c r="C36" s="563" t="s">
        <v>1109</v>
      </c>
      <c r="D36" s="572">
        <v>316.61</v>
      </c>
      <c r="E36" s="564">
        <v>3356</v>
      </c>
      <c r="F36" s="604"/>
      <c r="G36" s="564"/>
      <c r="H36" s="572"/>
      <c r="I36" s="564"/>
      <c r="J36" s="563"/>
      <c r="K36" s="563" t="s">
        <v>795</v>
      </c>
      <c r="L36" s="563">
        <v>5216006458</v>
      </c>
    </row>
    <row r="37" spans="1:88" s="565" customFormat="1" ht="15.75" x14ac:dyDescent="0.25">
      <c r="A37" s="563" t="s">
        <v>850</v>
      </c>
      <c r="B37" s="563">
        <v>5216006459</v>
      </c>
      <c r="C37" s="563" t="s">
        <v>1114</v>
      </c>
      <c r="D37" s="572">
        <v>48.33</v>
      </c>
      <c r="E37" s="564">
        <v>0</v>
      </c>
      <c r="F37" s="604"/>
      <c r="G37" s="564"/>
      <c r="H37" s="572"/>
      <c r="I37" s="564"/>
      <c r="J37" s="563"/>
      <c r="K37" s="563" t="s">
        <v>796</v>
      </c>
      <c r="L37" s="563">
        <v>5216006459</v>
      </c>
    </row>
    <row r="38" spans="1:88" s="565" customFormat="1" ht="15.75" x14ac:dyDescent="0.25">
      <c r="A38" s="563" t="s">
        <v>848</v>
      </c>
      <c r="B38" s="563">
        <v>5216006460</v>
      </c>
      <c r="C38" s="563" t="s">
        <v>1095</v>
      </c>
      <c r="D38" s="572">
        <v>44.52</v>
      </c>
      <c r="E38" s="564">
        <v>150</v>
      </c>
      <c r="F38" s="604"/>
      <c r="G38" s="564"/>
      <c r="H38" s="572"/>
      <c r="I38" s="564"/>
      <c r="J38" s="563"/>
      <c r="K38" s="563" t="s">
        <v>797</v>
      </c>
      <c r="L38" s="563">
        <v>5216006460</v>
      </c>
    </row>
    <row r="39" spans="1:88" s="565" customFormat="1" ht="15.75" x14ac:dyDescent="0.25">
      <c r="A39" s="563" t="s">
        <v>874</v>
      </c>
      <c r="B39" s="563">
        <v>5216006461</v>
      </c>
      <c r="C39" s="563" t="s">
        <v>1110</v>
      </c>
      <c r="D39" s="572">
        <v>166.98</v>
      </c>
      <c r="E39" s="564">
        <v>2279</v>
      </c>
      <c r="F39" s="604"/>
      <c r="G39" s="564"/>
      <c r="H39" s="572"/>
      <c r="I39" s="564"/>
      <c r="J39" s="563"/>
      <c r="K39" s="563" t="s">
        <v>798</v>
      </c>
      <c r="L39" s="563">
        <v>5216006461</v>
      </c>
    </row>
    <row r="40" spans="1:88" s="565" customFormat="1" ht="15.75" x14ac:dyDescent="0.25">
      <c r="A40" s="546" t="s">
        <v>847</v>
      </c>
      <c r="B40" s="546">
        <v>5216007172</v>
      </c>
      <c r="C40" s="546"/>
      <c r="D40" s="618"/>
      <c r="E40" s="547"/>
      <c r="F40" s="548"/>
      <c r="G40" s="547"/>
      <c r="H40" s="618"/>
      <c r="I40" s="547"/>
      <c r="J40" s="546"/>
      <c r="K40" s="546" t="s">
        <v>799</v>
      </c>
      <c r="L40" s="546">
        <v>5216006462</v>
      </c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  <c r="AK40" s="619"/>
      <c r="AL40" s="619"/>
      <c r="AM40" s="619"/>
      <c r="AN40" s="619"/>
      <c r="AO40" s="619"/>
      <c r="AP40" s="619"/>
      <c r="AQ40" s="619"/>
      <c r="AR40" s="619"/>
      <c r="AS40" s="619"/>
      <c r="AT40" s="619"/>
      <c r="AU40" s="619"/>
      <c r="AV40" s="619"/>
      <c r="AW40" s="619"/>
      <c r="AX40" s="619"/>
      <c r="AY40" s="619"/>
      <c r="AZ40" s="619"/>
      <c r="BA40" s="619"/>
      <c r="BB40" s="619"/>
      <c r="BC40" s="619"/>
      <c r="BD40" s="619"/>
      <c r="BE40" s="619"/>
      <c r="BF40" s="619"/>
      <c r="BG40" s="619"/>
      <c r="BH40" s="619"/>
      <c r="BI40" s="619"/>
      <c r="BJ40" s="619"/>
      <c r="BK40" s="619"/>
      <c r="BL40" s="619"/>
      <c r="BM40" s="619"/>
      <c r="BN40" s="619"/>
      <c r="BO40" s="619"/>
      <c r="BP40" s="619"/>
      <c r="BQ40" s="619"/>
      <c r="BR40" s="619"/>
      <c r="BS40" s="619"/>
      <c r="BT40" s="619"/>
      <c r="BU40" s="619"/>
      <c r="BV40" s="619"/>
      <c r="BW40" s="619"/>
      <c r="BX40" s="619"/>
      <c r="BY40" s="619"/>
      <c r="BZ40" s="619"/>
      <c r="CA40" s="619"/>
      <c r="CB40" s="619"/>
      <c r="CC40" s="619"/>
      <c r="CD40" s="619"/>
      <c r="CE40" s="619"/>
      <c r="CF40" s="619"/>
      <c r="CG40" s="619"/>
      <c r="CH40" s="619"/>
      <c r="CI40" s="619"/>
      <c r="CJ40" s="619"/>
    </row>
    <row r="41" spans="1:88" s="565" customFormat="1" ht="15.75" x14ac:dyDescent="0.25">
      <c r="A41" s="563" t="s">
        <v>836</v>
      </c>
      <c r="B41" s="563">
        <v>5216006464</v>
      </c>
      <c r="C41" s="563" t="s">
        <v>1094</v>
      </c>
      <c r="D41" s="572">
        <v>15.39</v>
      </c>
      <c r="E41" s="564">
        <v>70</v>
      </c>
      <c r="F41" s="604"/>
      <c r="G41" s="564"/>
      <c r="H41" s="572"/>
      <c r="I41" s="564"/>
      <c r="J41" s="563"/>
      <c r="K41" s="563" t="s">
        <v>801</v>
      </c>
      <c r="L41" s="563">
        <v>5216006464</v>
      </c>
    </row>
    <row r="42" spans="1:88" s="565" customFormat="1" ht="15.75" x14ac:dyDescent="0.25">
      <c r="A42" s="563" t="s">
        <v>837</v>
      </c>
      <c r="B42" s="563">
        <v>5216006465</v>
      </c>
      <c r="C42" s="563" t="s">
        <v>1094</v>
      </c>
      <c r="D42" s="572">
        <v>18.46</v>
      </c>
      <c r="E42" s="564">
        <v>80</v>
      </c>
      <c r="F42" s="604"/>
      <c r="G42" s="564"/>
      <c r="H42" s="572"/>
      <c r="I42" s="564"/>
      <c r="J42" s="563"/>
      <c r="K42" s="563" t="s">
        <v>802</v>
      </c>
      <c r="L42" s="563">
        <v>5216006465</v>
      </c>
    </row>
    <row r="43" spans="1:88" s="565" customFormat="1" ht="15.75" x14ac:dyDescent="0.25">
      <c r="A43" s="563" t="s">
        <v>869</v>
      </c>
      <c r="B43" s="563">
        <v>5216006466</v>
      </c>
      <c r="C43" s="563" t="s">
        <v>1109</v>
      </c>
      <c r="D43" s="572">
        <v>13.22</v>
      </c>
      <c r="E43" s="564">
        <v>0</v>
      </c>
      <c r="F43" s="604"/>
      <c r="G43" s="564"/>
      <c r="H43" s="572"/>
      <c r="I43" s="564"/>
      <c r="J43" s="563"/>
      <c r="K43" s="563" t="s">
        <v>803</v>
      </c>
      <c r="L43" s="563">
        <v>5216006466</v>
      </c>
    </row>
    <row r="44" spans="1:88" s="565" customFormat="1" ht="15.75" x14ac:dyDescent="0.25">
      <c r="A44" s="563" t="s">
        <v>868</v>
      </c>
      <c r="B44" s="563">
        <v>5216006467</v>
      </c>
      <c r="C44" s="563" t="s">
        <v>1117</v>
      </c>
      <c r="D44" s="572">
        <v>428.61</v>
      </c>
      <c r="E44" s="564">
        <v>1723</v>
      </c>
      <c r="F44" s="604"/>
      <c r="G44" s="564"/>
      <c r="H44" s="572"/>
      <c r="I44" s="564"/>
      <c r="J44" s="563"/>
      <c r="K44" s="563" t="s">
        <v>804</v>
      </c>
      <c r="L44" s="563">
        <v>5216006467</v>
      </c>
    </row>
    <row r="45" spans="1:88" s="565" customFormat="1" ht="17.25" customHeight="1" x14ac:dyDescent="0.25">
      <c r="A45" s="563" t="s">
        <v>832</v>
      </c>
      <c r="B45" s="563">
        <v>5216006468</v>
      </c>
      <c r="C45" s="563" t="s">
        <v>1094</v>
      </c>
      <c r="D45" s="572">
        <v>325.24</v>
      </c>
      <c r="E45" s="564">
        <v>1950</v>
      </c>
      <c r="F45" s="604"/>
      <c r="G45" s="564"/>
      <c r="H45" s="572"/>
      <c r="I45" s="564"/>
      <c r="J45" s="563"/>
      <c r="K45" s="563" t="s">
        <v>805</v>
      </c>
      <c r="L45" s="563">
        <v>5216006468</v>
      </c>
    </row>
    <row r="46" spans="1:88" s="565" customFormat="1" ht="15.75" x14ac:dyDescent="0.25">
      <c r="A46" s="563" t="s">
        <v>833</v>
      </c>
      <c r="B46" s="563">
        <v>5216006469</v>
      </c>
      <c r="C46" s="563" t="s">
        <v>1094</v>
      </c>
      <c r="D46" s="572">
        <v>244.89</v>
      </c>
      <c r="E46" s="564">
        <v>980</v>
      </c>
      <c r="F46" s="604"/>
      <c r="G46" s="564"/>
      <c r="H46" s="572"/>
      <c r="I46" s="564"/>
      <c r="J46" s="563"/>
      <c r="K46" s="563" t="s">
        <v>806</v>
      </c>
      <c r="L46" s="563">
        <v>5216006469</v>
      </c>
    </row>
    <row r="47" spans="1:88" s="565" customFormat="1" ht="15.75" x14ac:dyDescent="0.25">
      <c r="A47" s="563" t="s">
        <v>976</v>
      </c>
      <c r="B47" s="563">
        <v>5216006470</v>
      </c>
      <c r="C47" s="563" t="s">
        <v>1094</v>
      </c>
      <c r="D47" s="572">
        <v>1060.98</v>
      </c>
      <c r="E47" s="564">
        <v>12480</v>
      </c>
      <c r="F47" s="604"/>
      <c r="G47" s="564"/>
      <c r="H47" s="572"/>
      <c r="I47" s="564"/>
      <c r="J47" s="563"/>
      <c r="K47" s="563"/>
      <c r="L47" s="563"/>
    </row>
    <row r="48" spans="1:88" s="565" customFormat="1" ht="15.75" x14ac:dyDescent="0.25">
      <c r="A48" s="563" t="s">
        <v>852</v>
      </c>
      <c r="B48" s="563">
        <v>5216006471</v>
      </c>
      <c r="C48" s="563" t="s">
        <v>1111</v>
      </c>
      <c r="D48" s="572">
        <v>13.22</v>
      </c>
      <c r="E48" s="564">
        <v>0</v>
      </c>
      <c r="F48" s="604"/>
      <c r="G48" s="564"/>
      <c r="H48" s="572"/>
      <c r="I48" s="564"/>
      <c r="J48" s="563"/>
      <c r="K48" s="563" t="s">
        <v>808</v>
      </c>
      <c r="L48" s="563">
        <v>5216006471</v>
      </c>
    </row>
    <row r="49" spans="1:12" s="565" customFormat="1" ht="15.75" x14ac:dyDescent="0.25">
      <c r="A49" s="563" t="s">
        <v>867</v>
      </c>
      <c r="B49" s="563">
        <v>5216006472</v>
      </c>
      <c r="C49" s="563" t="s">
        <v>1111</v>
      </c>
      <c r="D49" s="572">
        <v>16.93</v>
      </c>
      <c r="E49" s="564">
        <v>55</v>
      </c>
      <c r="F49" s="604"/>
      <c r="G49" s="564"/>
      <c r="H49" s="572"/>
      <c r="I49" s="564"/>
      <c r="J49" s="563"/>
      <c r="K49" s="563" t="s">
        <v>809</v>
      </c>
      <c r="L49" s="563">
        <v>5216006472</v>
      </c>
    </row>
    <row r="50" spans="1:12" s="565" customFormat="1" ht="15.75" x14ac:dyDescent="0.25">
      <c r="A50" s="563" t="s">
        <v>840</v>
      </c>
      <c r="B50" s="563">
        <v>5216006473</v>
      </c>
      <c r="C50" s="563" t="s">
        <v>1110</v>
      </c>
      <c r="D50" s="572">
        <v>247.56</v>
      </c>
      <c r="E50" s="564">
        <v>3040</v>
      </c>
      <c r="F50" s="604"/>
      <c r="G50" s="564"/>
      <c r="H50" s="572"/>
      <c r="I50" s="564"/>
      <c r="J50" s="563"/>
      <c r="K50" s="563" t="s">
        <v>810</v>
      </c>
      <c r="L50" s="563">
        <v>5216006473</v>
      </c>
    </row>
    <row r="51" spans="1:12" s="565" customFormat="1" ht="15.75" x14ac:dyDescent="0.25">
      <c r="A51" s="563" t="s">
        <v>839</v>
      </c>
      <c r="B51" s="563">
        <v>5216006474</v>
      </c>
      <c r="C51" s="563" t="s">
        <v>1117</v>
      </c>
      <c r="D51" s="572">
        <v>158.03</v>
      </c>
      <c r="E51" s="564">
        <v>908</v>
      </c>
      <c r="F51" s="604"/>
      <c r="G51" s="564"/>
      <c r="H51" s="572"/>
      <c r="I51" s="564"/>
      <c r="J51" s="563"/>
      <c r="K51" s="563" t="s">
        <v>811</v>
      </c>
      <c r="L51" s="563">
        <v>5216006474</v>
      </c>
    </row>
    <row r="52" spans="1:12" s="565" customFormat="1" ht="15.75" x14ac:dyDescent="0.25">
      <c r="A52" s="563" t="s">
        <v>841</v>
      </c>
      <c r="B52" s="563">
        <v>5216006475</v>
      </c>
      <c r="C52" s="563" t="s">
        <v>1094</v>
      </c>
      <c r="D52" s="572">
        <v>21.42</v>
      </c>
      <c r="E52" s="564">
        <v>150</v>
      </c>
      <c r="F52" s="604"/>
      <c r="G52" s="564"/>
      <c r="H52" s="572"/>
      <c r="I52" s="564"/>
      <c r="J52" s="563"/>
      <c r="K52" s="563" t="s">
        <v>812</v>
      </c>
      <c r="L52" s="563">
        <v>5216006475</v>
      </c>
    </row>
    <row r="53" spans="1:12" s="619" customFormat="1" ht="15.75" x14ac:dyDescent="0.25">
      <c r="A53" s="546" t="s">
        <v>846</v>
      </c>
      <c r="B53" s="546">
        <v>5074402</v>
      </c>
      <c r="C53" s="546"/>
      <c r="D53" s="618"/>
      <c r="E53" s="547"/>
      <c r="F53" s="548"/>
      <c r="G53" s="547"/>
      <c r="H53" s="618"/>
      <c r="I53" s="547"/>
      <c r="J53" s="546"/>
      <c r="K53" s="546" t="s">
        <v>813</v>
      </c>
      <c r="L53" s="546">
        <v>5216006476</v>
      </c>
    </row>
    <row r="54" spans="1:12" s="565" customFormat="1" ht="15.75" x14ac:dyDescent="0.25">
      <c r="A54" s="563" t="s">
        <v>845</v>
      </c>
      <c r="B54" s="563">
        <v>5216006477</v>
      </c>
      <c r="C54" s="563" t="s">
        <v>1118</v>
      </c>
      <c r="D54" s="572">
        <v>47.7</v>
      </c>
      <c r="E54" s="564">
        <v>53</v>
      </c>
      <c r="F54" s="604"/>
      <c r="G54" s="564"/>
      <c r="H54" s="572"/>
      <c r="I54" s="564"/>
      <c r="J54" s="563"/>
      <c r="K54" s="563" t="s">
        <v>814</v>
      </c>
      <c r="L54" s="563">
        <v>5216006477</v>
      </c>
    </row>
    <row r="55" spans="1:12" s="565" customFormat="1" ht="15.75" x14ac:dyDescent="0.25">
      <c r="A55" s="563" t="s">
        <v>866</v>
      </c>
      <c r="B55" s="563">
        <v>5216006478</v>
      </c>
      <c r="C55" s="563" t="s">
        <v>1112</v>
      </c>
      <c r="D55" s="572">
        <v>110.67</v>
      </c>
      <c r="E55" s="564">
        <v>1441</v>
      </c>
      <c r="F55" s="604"/>
      <c r="G55" s="564"/>
      <c r="H55" s="572"/>
      <c r="I55" s="564"/>
      <c r="J55" s="563"/>
      <c r="K55" s="563" t="s">
        <v>815</v>
      </c>
      <c r="L55" s="563">
        <v>5216006478</v>
      </c>
    </row>
    <row r="56" spans="1:12" s="565" customFormat="1" ht="15.75" x14ac:dyDescent="0.25">
      <c r="A56" s="563" t="s">
        <v>844</v>
      </c>
      <c r="B56" s="563">
        <v>5216006479</v>
      </c>
      <c r="C56" s="563" t="s">
        <v>1111</v>
      </c>
      <c r="D56" s="572">
        <v>107.38</v>
      </c>
      <c r="E56" s="564">
        <v>770</v>
      </c>
      <c r="F56" s="604"/>
      <c r="G56" s="564"/>
      <c r="H56" s="572"/>
      <c r="I56" s="564"/>
      <c r="J56" s="563"/>
      <c r="K56" s="563" t="s">
        <v>816</v>
      </c>
      <c r="L56" s="563">
        <v>5216006479</v>
      </c>
    </row>
    <row r="57" spans="1:12" s="565" customFormat="1" ht="15.75" x14ac:dyDescent="0.25">
      <c r="A57" s="563" t="s">
        <v>877</v>
      </c>
      <c r="B57" s="563">
        <v>5216006481</v>
      </c>
      <c r="C57" s="563" t="s">
        <v>1095</v>
      </c>
      <c r="D57" s="572">
        <v>1396.23</v>
      </c>
      <c r="E57" s="564">
        <v>9480</v>
      </c>
      <c r="F57" s="604"/>
      <c r="G57" s="564"/>
      <c r="H57" s="572"/>
      <c r="I57" s="564"/>
      <c r="J57" s="563"/>
      <c r="K57" s="563" t="s">
        <v>818</v>
      </c>
      <c r="L57" s="563">
        <v>5216006481</v>
      </c>
    </row>
    <row r="58" spans="1:12" s="565" customFormat="1" ht="15.75" x14ac:dyDescent="0.25">
      <c r="A58" s="563" t="s">
        <v>865</v>
      </c>
      <c r="B58" s="563">
        <v>5216006482</v>
      </c>
      <c r="C58" s="563" t="s">
        <v>1114</v>
      </c>
      <c r="D58" s="572">
        <v>240.93</v>
      </c>
      <c r="E58" s="564">
        <v>1287</v>
      </c>
      <c r="F58" s="604"/>
      <c r="G58" s="564"/>
      <c r="H58" s="572"/>
      <c r="I58" s="564"/>
      <c r="J58" s="563"/>
      <c r="K58" s="563" t="s">
        <v>819</v>
      </c>
      <c r="L58" s="563">
        <v>5216006482</v>
      </c>
    </row>
    <row r="59" spans="1:12" s="565" customFormat="1" ht="15.75" x14ac:dyDescent="0.25">
      <c r="A59" s="563" t="s">
        <v>860</v>
      </c>
      <c r="B59" s="563">
        <v>5216006483</v>
      </c>
      <c r="C59" s="563" t="s">
        <v>1110</v>
      </c>
      <c r="D59" s="572">
        <v>26.73</v>
      </c>
      <c r="E59" s="564">
        <v>200</v>
      </c>
      <c r="F59" s="604"/>
      <c r="G59" s="564"/>
      <c r="H59" s="572"/>
      <c r="I59" s="564"/>
      <c r="J59" s="563"/>
      <c r="K59" s="563" t="s">
        <v>820</v>
      </c>
      <c r="L59" s="563">
        <v>5216006483</v>
      </c>
    </row>
    <row r="60" spans="1:12" s="565" customFormat="1" ht="15.75" x14ac:dyDescent="0.25">
      <c r="A60" s="563" t="s">
        <v>864</v>
      </c>
      <c r="B60" s="563">
        <v>5216006484</v>
      </c>
      <c r="C60" s="563" t="s">
        <v>1117</v>
      </c>
      <c r="D60" s="572">
        <v>292.67</v>
      </c>
      <c r="E60" s="564">
        <v>915</v>
      </c>
      <c r="F60" s="604"/>
      <c r="G60" s="564"/>
      <c r="H60" s="572"/>
      <c r="I60" s="564"/>
      <c r="J60" s="563"/>
      <c r="K60" s="563" t="s">
        <v>821</v>
      </c>
      <c r="L60" s="563">
        <v>5216006484</v>
      </c>
    </row>
    <row r="61" spans="1:12" s="565" customFormat="1" ht="15.75" x14ac:dyDescent="0.25">
      <c r="A61" s="563" t="s">
        <v>861</v>
      </c>
      <c r="B61" s="563">
        <v>5216006485</v>
      </c>
      <c r="C61" s="563" t="s">
        <v>1115</v>
      </c>
      <c r="D61" s="572">
        <v>340.85</v>
      </c>
      <c r="E61" s="564">
        <v>3591</v>
      </c>
      <c r="F61" s="604"/>
      <c r="G61" s="564"/>
      <c r="H61" s="572"/>
      <c r="I61" s="564"/>
      <c r="J61" s="563"/>
      <c r="K61" s="563" t="s">
        <v>822</v>
      </c>
      <c r="L61" s="563">
        <v>5216006485</v>
      </c>
    </row>
    <row r="62" spans="1:12" s="565" customFormat="1" ht="15.75" x14ac:dyDescent="0.25">
      <c r="A62" s="563" t="s">
        <v>935</v>
      </c>
      <c r="B62" s="563">
        <v>5216006486</v>
      </c>
      <c r="C62" s="563" t="s">
        <v>1115</v>
      </c>
      <c r="D62" s="572">
        <v>24.48</v>
      </c>
      <c r="E62" s="564">
        <v>140</v>
      </c>
      <c r="F62" s="604"/>
      <c r="G62" s="564"/>
      <c r="H62" s="572"/>
      <c r="I62" s="564"/>
      <c r="J62" s="563"/>
      <c r="K62" s="563" t="s">
        <v>823</v>
      </c>
      <c r="L62" s="563">
        <v>5216006486</v>
      </c>
    </row>
    <row r="63" spans="1:12" s="619" customFormat="1" ht="15.75" x14ac:dyDescent="0.25">
      <c r="A63" s="546" t="s">
        <v>910</v>
      </c>
      <c r="B63" s="546">
        <v>5216007171</v>
      </c>
      <c r="C63" s="546"/>
      <c r="D63" s="618"/>
      <c r="E63" s="547"/>
      <c r="F63" s="548"/>
      <c r="G63" s="547"/>
      <c r="H63" s="618"/>
      <c r="I63" s="547"/>
      <c r="J63" s="546"/>
      <c r="K63" s="546"/>
      <c r="L63" s="546"/>
    </row>
    <row r="64" spans="1:12" s="565" customFormat="1" ht="15.75" x14ac:dyDescent="0.25">
      <c r="A64" s="563" t="s">
        <v>862</v>
      </c>
      <c r="B64" s="563">
        <v>5216006487</v>
      </c>
      <c r="C64" s="563" t="s">
        <v>1094</v>
      </c>
      <c r="D64" s="572">
        <v>1064.44</v>
      </c>
      <c r="E64" s="564">
        <v>9600</v>
      </c>
      <c r="F64" s="604"/>
      <c r="G64" s="564"/>
      <c r="H64" s="572"/>
      <c r="I64" s="564"/>
      <c r="J64" s="563"/>
      <c r="K64" s="563" t="s">
        <v>824</v>
      </c>
      <c r="L64" s="563">
        <v>5216006487</v>
      </c>
    </row>
    <row r="65" spans="1:12" s="565" customFormat="1" ht="15.75" x14ac:dyDescent="0.25">
      <c r="A65" s="563" t="s">
        <v>843</v>
      </c>
      <c r="B65" s="563">
        <v>5216006488</v>
      </c>
      <c r="C65" s="609" t="s">
        <v>1109</v>
      </c>
      <c r="D65" s="572">
        <v>85.08</v>
      </c>
      <c r="E65" s="564">
        <v>1065</v>
      </c>
      <c r="F65" s="604"/>
      <c r="G65" s="564"/>
      <c r="H65" s="572"/>
      <c r="I65" s="564"/>
      <c r="J65" s="563"/>
      <c r="K65" s="563" t="s">
        <v>825</v>
      </c>
      <c r="L65" s="563">
        <v>5216006488</v>
      </c>
    </row>
    <row r="66" spans="1:12" s="565" customFormat="1" ht="15.75" x14ac:dyDescent="0.25">
      <c r="A66" s="563" t="s">
        <v>842</v>
      </c>
      <c r="B66" s="563">
        <v>5216006489</v>
      </c>
      <c r="C66" s="563" t="s">
        <v>1109</v>
      </c>
      <c r="D66" s="572">
        <v>32.19</v>
      </c>
      <c r="E66" s="564">
        <v>281</v>
      </c>
      <c r="F66" s="604"/>
      <c r="G66" s="564"/>
      <c r="H66" s="572"/>
      <c r="I66" s="564"/>
      <c r="J66" s="563"/>
      <c r="K66" s="563" t="s">
        <v>826</v>
      </c>
      <c r="L66" s="563">
        <v>5216006489</v>
      </c>
    </row>
    <row r="67" spans="1:12" s="199" customFormat="1" ht="26.25" x14ac:dyDescent="0.25">
      <c r="A67" s="280" t="s">
        <v>878</v>
      </c>
      <c r="B67" s="643"/>
      <c r="C67" s="249"/>
      <c r="D67" s="250"/>
      <c r="E67" s="251"/>
      <c r="F67" s="543"/>
      <c r="G67" s="251"/>
      <c r="H67" s="250"/>
      <c r="I67" s="251"/>
      <c r="J67" s="249"/>
      <c r="K67" s="249"/>
      <c r="L67" s="249"/>
    </row>
    <row r="68" spans="1:12" s="149" customFormat="1" ht="26.25" x14ac:dyDescent="0.25">
      <c r="A68" s="260" t="s">
        <v>51</v>
      </c>
      <c r="B68" s="261" t="s">
        <v>208</v>
      </c>
      <c r="C68" s="266" t="s">
        <v>1106</v>
      </c>
      <c r="D68" s="263">
        <v>232</v>
      </c>
      <c r="E68" s="264">
        <v>2166</v>
      </c>
      <c r="F68" s="583"/>
      <c r="G68" s="264"/>
      <c r="H68" s="263"/>
      <c r="I68" s="264"/>
      <c r="J68" s="262" t="s">
        <v>33</v>
      </c>
      <c r="K68" s="265"/>
      <c r="L68" s="265"/>
    </row>
    <row r="69" spans="1:12" s="149" customFormat="1" ht="26.25" x14ac:dyDescent="0.25">
      <c r="A69" s="260" t="s">
        <v>52</v>
      </c>
      <c r="B69" s="261" t="s">
        <v>209</v>
      </c>
      <c r="C69" s="266" t="s">
        <v>1106</v>
      </c>
      <c r="D69" s="263">
        <v>187</v>
      </c>
      <c r="E69" s="264">
        <v>1470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54</v>
      </c>
      <c r="B70" s="261">
        <v>7039100</v>
      </c>
      <c r="C70" s="266" t="s">
        <v>1106</v>
      </c>
      <c r="D70" s="263">
        <v>134</v>
      </c>
      <c r="E70" s="264">
        <v>898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x14ac:dyDescent="0.25">
      <c r="A71" s="260" t="s">
        <v>55</v>
      </c>
      <c r="B71" s="261" t="s">
        <v>212</v>
      </c>
      <c r="C71" s="266" t="s">
        <v>1106</v>
      </c>
      <c r="D71" s="263">
        <v>43</v>
      </c>
      <c r="E71" s="264">
        <v>135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56</v>
      </c>
      <c r="B72" s="261" t="s">
        <v>213</v>
      </c>
      <c r="C72" s="266" t="s">
        <v>1106</v>
      </c>
      <c r="D72" s="263">
        <v>37</v>
      </c>
      <c r="E72" s="264">
        <v>69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57</v>
      </c>
      <c r="B73" s="261" t="s">
        <v>214</v>
      </c>
      <c r="C73" s="266" t="s">
        <v>1106</v>
      </c>
      <c r="D73" s="263">
        <v>307</v>
      </c>
      <c r="E73" s="264">
        <v>2764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58</v>
      </c>
      <c r="B74" s="261" t="s">
        <v>215</v>
      </c>
      <c r="C74" s="266" t="s">
        <v>1106</v>
      </c>
      <c r="D74" s="263">
        <v>371</v>
      </c>
      <c r="E74" s="264">
        <v>3755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770</v>
      </c>
      <c r="B75" s="261" t="s">
        <v>216</v>
      </c>
      <c r="C75" s="266" t="s">
        <v>1106</v>
      </c>
      <c r="D75" s="263">
        <v>58</v>
      </c>
      <c r="E75" s="264">
        <v>295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60</v>
      </c>
      <c r="B76" s="261" t="s">
        <v>217</v>
      </c>
      <c r="C76" s="266" t="s">
        <v>1106</v>
      </c>
      <c r="D76" s="263">
        <v>112</v>
      </c>
      <c r="E76" s="264">
        <v>667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61</v>
      </c>
      <c r="B77" s="261" t="s">
        <v>218</v>
      </c>
      <c r="C77" s="266" t="s">
        <v>1106</v>
      </c>
      <c r="D77" s="263">
        <v>31</v>
      </c>
      <c r="E77" s="264">
        <v>3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62</v>
      </c>
      <c r="B78" s="261" t="s">
        <v>219</v>
      </c>
      <c r="C78" s="266" t="s">
        <v>1106</v>
      </c>
      <c r="D78" s="263">
        <v>63</v>
      </c>
      <c r="E78" s="264">
        <v>352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771</v>
      </c>
      <c r="B79" s="261">
        <v>1402294701</v>
      </c>
      <c r="C79" s="266" t="s">
        <v>1106</v>
      </c>
      <c r="D79" s="263">
        <v>50</v>
      </c>
      <c r="E79" s="264">
        <v>0</v>
      </c>
      <c r="F79" s="583"/>
      <c r="G79" s="264"/>
      <c r="H79" s="263"/>
      <c r="I79" s="264"/>
      <c r="J79" s="262"/>
      <c r="K79" s="265"/>
      <c r="L79" s="265"/>
    </row>
    <row r="80" spans="1:12" s="148" customFormat="1" x14ac:dyDescent="0.25">
      <c r="A80" s="254" t="s">
        <v>621</v>
      </c>
      <c r="B80" s="255" t="s">
        <v>201</v>
      </c>
      <c r="C80" s="256" t="s">
        <v>1106</v>
      </c>
      <c r="D80" s="257">
        <v>77</v>
      </c>
      <c r="E80" s="258">
        <v>327</v>
      </c>
      <c r="F80" s="586"/>
      <c r="G80" s="258"/>
      <c r="H80" s="257"/>
      <c r="I80" s="258"/>
      <c r="J80" s="256" t="s">
        <v>33</v>
      </c>
      <c r="K80" s="256"/>
      <c r="L80" s="256"/>
    </row>
    <row r="81" spans="1:12" s="149" customFormat="1" x14ac:dyDescent="0.25">
      <c r="A81" s="260" t="s">
        <v>768</v>
      </c>
      <c r="B81" s="261" t="s">
        <v>202</v>
      </c>
      <c r="C81" s="266" t="s">
        <v>1106</v>
      </c>
      <c r="D81" s="263">
        <v>1334</v>
      </c>
      <c r="E81" s="264">
        <v>13560</v>
      </c>
      <c r="F81" s="583"/>
      <c r="G81" s="264"/>
      <c r="H81" s="263"/>
      <c r="I81" s="264"/>
      <c r="J81" s="262" t="s">
        <v>33</v>
      </c>
      <c r="K81" s="262"/>
      <c r="L81" s="262"/>
    </row>
    <row r="82" spans="1:12" s="149" customFormat="1" x14ac:dyDescent="0.25">
      <c r="A82" s="260" t="s">
        <v>96</v>
      </c>
      <c r="B82" s="261">
        <v>7815400</v>
      </c>
      <c r="C82" s="262" t="s">
        <v>1106</v>
      </c>
      <c r="D82" s="263">
        <v>66</v>
      </c>
      <c r="E82" s="264">
        <v>304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97</v>
      </c>
      <c r="B83" s="261" t="s">
        <v>204</v>
      </c>
      <c r="C83" s="262" t="s">
        <v>1106</v>
      </c>
      <c r="D83" s="263">
        <v>57</v>
      </c>
      <c r="E83" s="264">
        <v>12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98</v>
      </c>
      <c r="B84" s="261" t="s">
        <v>205</v>
      </c>
      <c r="C84" s="262" t="s">
        <v>1106</v>
      </c>
      <c r="D84" s="263">
        <v>30</v>
      </c>
      <c r="E84" s="264">
        <v>0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769</v>
      </c>
      <c r="B85" s="261" t="s">
        <v>206</v>
      </c>
      <c r="C85" s="262" t="s">
        <v>1106</v>
      </c>
      <c r="D85" s="263">
        <v>51</v>
      </c>
      <c r="E85" s="264">
        <v>142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100</v>
      </c>
      <c r="B86" s="282">
        <v>1323346600</v>
      </c>
      <c r="C86" s="262" t="s">
        <v>1106</v>
      </c>
      <c r="D86" s="263">
        <v>504</v>
      </c>
      <c r="E86" s="264">
        <v>3900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101</v>
      </c>
      <c r="B87" s="282">
        <v>1322699400</v>
      </c>
      <c r="C87" s="266" t="s">
        <v>1106</v>
      </c>
      <c r="D87" s="263">
        <v>554</v>
      </c>
      <c r="E87" s="264">
        <v>5040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352" customFormat="1" x14ac:dyDescent="0.25">
      <c r="A88" s="346" t="s">
        <v>772</v>
      </c>
      <c r="B88" s="347" t="s">
        <v>200</v>
      </c>
      <c r="C88" s="348" t="s">
        <v>1106</v>
      </c>
      <c r="D88" s="349">
        <v>274</v>
      </c>
      <c r="E88" s="350">
        <v>12.72</v>
      </c>
      <c r="F88" s="593"/>
      <c r="G88" s="350"/>
      <c r="H88" s="349"/>
      <c r="I88" s="350"/>
      <c r="J88" s="348" t="s">
        <v>33</v>
      </c>
      <c r="K88" s="348"/>
      <c r="L88" s="348"/>
    </row>
    <row r="89" spans="1:12" s="149" customFormat="1" x14ac:dyDescent="0.25">
      <c r="A89" s="260" t="s">
        <v>110</v>
      </c>
      <c r="B89" s="261" t="s">
        <v>207</v>
      </c>
      <c r="C89" s="262" t="s">
        <v>1106</v>
      </c>
      <c r="D89" s="263">
        <v>131</v>
      </c>
      <c r="E89" s="264">
        <v>407</v>
      </c>
      <c r="F89" s="583"/>
      <c r="G89" s="264"/>
      <c r="H89" s="263"/>
      <c r="I89" s="264"/>
      <c r="J89" s="262" t="s">
        <v>33</v>
      </c>
      <c r="K89" s="262"/>
      <c r="L89" s="262"/>
    </row>
    <row r="90" spans="1:12" s="149" customFormat="1" x14ac:dyDescent="0.25">
      <c r="A90" s="260" t="s">
        <v>111</v>
      </c>
      <c r="B90" s="261" t="s">
        <v>222</v>
      </c>
      <c r="C90" s="262" t="s">
        <v>1106</v>
      </c>
      <c r="D90" s="263">
        <v>88</v>
      </c>
      <c r="E90" s="264">
        <v>401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ht="15.75" customHeight="1" x14ac:dyDescent="0.25">
      <c r="A91" s="260" t="s">
        <v>117</v>
      </c>
      <c r="B91" s="261" t="s">
        <v>220</v>
      </c>
      <c r="C91" s="262" t="s">
        <v>1106</v>
      </c>
      <c r="D91" s="263">
        <v>96</v>
      </c>
      <c r="E91" s="264">
        <v>506</v>
      </c>
      <c r="F91" s="583"/>
      <c r="G91" s="264"/>
      <c r="H91" s="263"/>
      <c r="I91" s="264"/>
      <c r="J91" s="262" t="s">
        <v>33</v>
      </c>
      <c r="K91" s="262"/>
      <c r="L91" s="262"/>
    </row>
    <row r="92" spans="1:12" s="149" customFormat="1" x14ac:dyDescent="0.25">
      <c r="A92" s="260" t="s">
        <v>118</v>
      </c>
      <c r="B92" s="261" t="s">
        <v>221</v>
      </c>
      <c r="C92" s="266" t="s">
        <v>1106</v>
      </c>
      <c r="D92" s="263">
        <v>91</v>
      </c>
      <c r="E92" s="264">
        <v>650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701</v>
      </c>
      <c r="B93" s="261">
        <v>1323115001</v>
      </c>
      <c r="C93" s="266" t="s">
        <v>1106</v>
      </c>
      <c r="D93" s="263">
        <v>1327</v>
      </c>
      <c r="E93" s="264">
        <v>13680</v>
      </c>
      <c r="F93" s="583"/>
      <c r="G93" s="264"/>
      <c r="H93" s="263"/>
      <c r="I93" s="264"/>
      <c r="J93" s="262"/>
      <c r="K93" s="262"/>
      <c r="L93" s="262"/>
    </row>
    <row r="94" spans="1:12" s="149" customFormat="1" x14ac:dyDescent="0.25">
      <c r="A94" s="260" t="s">
        <v>683</v>
      </c>
      <c r="B94" s="261">
        <v>1322673502</v>
      </c>
      <c r="C94" s="266" t="s">
        <v>1106</v>
      </c>
      <c r="D94" s="263">
        <v>114</v>
      </c>
      <c r="E94" s="264">
        <v>687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702</v>
      </c>
      <c r="B95" s="261">
        <v>1322725900</v>
      </c>
      <c r="C95" s="266" t="s">
        <v>1106</v>
      </c>
      <c r="D95" s="263">
        <v>774</v>
      </c>
      <c r="E95" s="264">
        <v>9480</v>
      </c>
      <c r="F95" s="583"/>
      <c r="G95" s="264"/>
      <c r="H95" s="263"/>
      <c r="I95" s="264"/>
      <c r="J95" s="262"/>
      <c r="K95" s="262"/>
      <c r="L95" s="262"/>
    </row>
    <row r="96" spans="1:12" s="199" customFormat="1" x14ac:dyDescent="0.25">
      <c r="A96" s="280" t="s">
        <v>434</v>
      </c>
      <c r="B96" s="643"/>
      <c r="C96" s="249"/>
      <c r="D96" s="250"/>
      <c r="E96" s="251"/>
      <c r="F96" s="543"/>
      <c r="G96" s="251"/>
      <c r="H96" s="250"/>
      <c r="I96" s="251"/>
      <c r="J96" s="249"/>
      <c r="K96" s="249"/>
      <c r="L96" s="249"/>
    </row>
    <row r="97" spans="1:12" s="149" customFormat="1" x14ac:dyDescent="0.25">
      <c r="A97" s="260" t="s">
        <v>65</v>
      </c>
      <c r="B97" s="261" t="s">
        <v>163</v>
      </c>
      <c r="C97" s="262" t="s">
        <v>1106</v>
      </c>
      <c r="D97" s="263"/>
      <c r="E97" s="264"/>
      <c r="F97" s="583"/>
      <c r="G97" s="264"/>
      <c r="H97" s="263">
        <v>115.32</v>
      </c>
      <c r="I97" s="264">
        <v>160</v>
      </c>
      <c r="J97" s="262"/>
      <c r="K97" s="262"/>
      <c r="L97" s="262"/>
    </row>
    <row r="98" spans="1:12" s="149" customFormat="1" x14ac:dyDescent="0.25">
      <c r="A98" s="260" t="s">
        <v>37</v>
      </c>
      <c r="B98" s="261" t="s">
        <v>190</v>
      </c>
      <c r="C98" s="266" t="s">
        <v>1106</v>
      </c>
      <c r="D98" s="263"/>
      <c r="E98" s="264"/>
      <c r="F98" s="583"/>
      <c r="G98" s="264"/>
      <c r="H98" s="263">
        <v>71.040000000000006</v>
      </c>
      <c r="I98" s="264">
        <v>90</v>
      </c>
      <c r="J98" s="262"/>
      <c r="K98" s="262"/>
      <c r="L98" s="262"/>
    </row>
    <row r="99" spans="1:12" s="149" customFormat="1" x14ac:dyDescent="0.25">
      <c r="A99" s="260" t="s">
        <v>71</v>
      </c>
      <c r="B99" s="261" t="s">
        <v>188</v>
      </c>
      <c r="C99" s="262" t="s">
        <v>1106</v>
      </c>
      <c r="D99" s="263"/>
      <c r="E99" s="264"/>
      <c r="F99" s="583"/>
      <c r="G99" s="264"/>
      <c r="H99" s="263">
        <v>33.659999999999997</v>
      </c>
      <c r="I99" s="264">
        <v>6</v>
      </c>
      <c r="J99" s="262"/>
      <c r="K99" s="262"/>
      <c r="L99" s="262"/>
    </row>
    <row r="100" spans="1:12" s="149" customFormat="1" x14ac:dyDescent="0.25">
      <c r="A100" s="260" t="s">
        <v>72</v>
      </c>
      <c r="B100" s="261" t="s">
        <v>187</v>
      </c>
      <c r="C100" s="262" t="s">
        <v>1106</v>
      </c>
      <c r="D100" s="263"/>
      <c r="E100" s="264"/>
      <c r="F100" s="583"/>
      <c r="G100" s="264"/>
      <c r="H100" s="263">
        <v>33.659999999999997</v>
      </c>
      <c r="I100" s="264">
        <v>0</v>
      </c>
      <c r="J100" s="262"/>
      <c r="K100" s="262"/>
      <c r="L100" s="262"/>
    </row>
    <row r="101" spans="1:12" s="149" customFormat="1" x14ac:dyDescent="0.25">
      <c r="A101" s="260" t="s">
        <v>73</v>
      </c>
      <c r="B101" s="261" t="s">
        <v>171</v>
      </c>
      <c r="C101" s="262" t="s">
        <v>1106</v>
      </c>
      <c r="D101" s="263"/>
      <c r="E101" s="264"/>
      <c r="F101" s="583"/>
      <c r="G101" s="264"/>
      <c r="H101" s="263">
        <v>33.659999999999997</v>
      </c>
      <c r="I101" s="264">
        <v>16</v>
      </c>
      <c r="J101" s="262"/>
      <c r="K101" s="262"/>
      <c r="L101" s="262"/>
    </row>
    <row r="102" spans="1:12" s="149" customFormat="1" x14ac:dyDescent="0.25">
      <c r="A102" s="260" t="s">
        <v>74</v>
      </c>
      <c r="B102" s="261" t="s">
        <v>170</v>
      </c>
      <c r="C102" s="262" t="s">
        <v>1106</v>
      </c>
      <c r="D102" s="263"/>
      <c r="E102" s="264"/>
      <c r="F102" s="583"/>
      <c r="G102" s="264"/>
      <c r="H102" s="263">
        <v>33.659999999999997</v>
      </c>
      <c r="I102" s="264">
        <v>1</v>
      </c>
      <c r="J102" s="262"/>
      <c r="K102" s="262"/>
      <c r="L102" s="262"/>
    </row>
    <row r="103" spans="1:12" s="149" customFormat="1" x14ac:dyDescent="0.25">
      <c r="A103" s="260" t="s">
        <v>75</v>
      </c>
      <c r="B103" s="261" t="s">
        <v>189</v>
      </c>
      <c r="C103" s="262" t="s">
        <v>1106</v>
      </c>
      <c r="D103" s="263"/>
      <c r="E103" s="264"/>
      <c r="F103" s="583"/>
      <c r="G103" s="264"/>
      <c r="H103" s="263">
        <v>33.659999999999997</v>
      </c>
      <c r="I103" s="264">
        <v>18</v>
      </c>
      <c r="J103" s="262"/>
      <c r="K103" s="262"/>
      <c r="L103" s="262"/>
    </row>
    <row r="104" spans="1:12" s="149" customFormat="1" x14ac:dyDescent="0.25">
      <c r="A104" s="260" t="s">
        <v>76</v>
      </c>
      <c r="B104" s="261" t="s">
        <v>169</v>
      </c>
      <c r="C104" s="262" t="s">
        <v>1106</v>
      </c>
      <c r="D104" s="263"/>
      <c r="E104" s="264"/>
      <c r="F104" s="583"/>
      <c r="G104" s="264"/>
      <c r="H104" s="263">
        <v>33.659999999999997</v>
      </c>
      <c r="I104" s="264">
        <v>0</v>
      </c>
      <c r="J104" s="262"/>
      <c r="K104" s="262"/>
      <c r="L104" s="262"/>
    </row>
    <row r="105" spans="1:12" s="149" customFormat="1" x14ac:dyDescent="0.25">
      <c r="A105" s="260" t="s">
        <v>77</v>
      </c>
      <c r="B105" s="261" t="s">
        <v>168</v>
      </c>
      <c r="C105" s="262" t="s">
        <v>1106</v>
      </c>
      <c r="D105" s="263"/>
      <c r="E105" s="264"/>
      <c r="F105" s="583"/>
      <c r="G105" s="264"/>
      <c r="H105" s="263">
        <v>72.64</v>
      </c>
      <c r="I105" s="264">
        <v>93</v>
      </c>
      <c r="J105" s="262"/>
      <c r="K105" s="262"/>
      <c r="L105" s="262"/>
    </row>
    <row r="106" spans="1:12" s="149" customFormat="1" x14ac:dyDescent="0.25">
      <c r="A106" s="260" t="s">
        <v>78</v>
      </c>
      <c r="B106" s="261" t="s">
        <v>197</v>
      </c>
      <c r="C106" s="262" t="s">
        <v>1106</v>
      </c>
      <c r="D106" s="263"/>
      <c r="E106" s="264"/>
      <c r="F106" s="583"/>
      <c r="G106" s="264"/>
      <c r="H106" s="263">
        <v>35.26</v>
      </c>
      <c r="I106" s="264">
        <v>23</v>
      </c>
      <c r="J106" s="262"/>
      <c r="K106" s="262"/>
      <c r="L106" s="262"/>
    </row>
    <row r="107" spans="1:12" s="149" customFormat="1" x14ac:dyDescent="0.25">
      <c r="A107" s="260" t="s">
        <v>79</v>
      </c>
      <c r="B107" s="261" t="s">
        <v>167</v>
      </c>
      <c r="C107" s="266" t="s">
        <v>1106</v>
      </c>
      <c r="D107" s="263"/>
      <c r="E107" s="264"/>
      <c r="F107" s="583"/>
      <c r="G107" s="264"/>
      <c r="H107" s="263">
        <v>760.97</v>
      </c>
      <c r="I107" s="264">
        <v>1029</v>
      </c>
      <c r="J107" s="262"/>
      <c r="K107" s="262"/>
      <c r="L107" s="262"/>
    </row>
    <row r="108" spans="1:12" s="149" customFormat="1" x14ac:dyDescent="0.25">
      <c r="A108" s="283" t="s">
        <v>80</v>
      </c>
      <c r="B108" s="284" t="s">
        <v>177</v>
      </c>
      <c r="C108" s="285" t="s">
        <v>1106</v>
      </c>
      <c r="D108" s="286"/>
      <c r="E108" s="287"/>
      <c r="F108" s="594"/>
      <c r="G108" s="287"/>
      <c r="H108" s="286">
        <v>33.659999999999997</v>
      </c>
      <c r="I108" s="287">
        <v>0</v>
      </c>
      <c r="J108" s="288"/>
      <c r="K108" s="262"/>
      <c r="L108" s="262"/>
    </row>
    <row r="109" spans="1:12" s="149" customFormat="1" x14ac:dyDescent="0.25">
      <c r="A109" s="260" t="s">
        <v>81</v>
      </c>
      <c r="B109" s="261" t="s">
        <v>180</v>
      </c>
      <c r="C109" s="262" t="s">
        <v>1106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12" s="149" customFormat="1" x14ac:dyDescent="0.25">
      <c r="A110" s="260" t="s">
        <v>82</v>
      </c>
      <c r="B110" s="261" t="s">
        <v>179</v>
      </c>
      <c r="C110" s="262" t="s">
        <v>1106</v>
      </c>
      <c r="D110" s="263"/>
      <c r="E110" s="264"/>
      <c r="F110" s="583"/>
      <c r="G110" s="264"/>
      <c r="H110" s="263">
        <v>33.659999999999997</v>
      </c>
      <c r="I110" s="264">
        <v>1</v>
      </c>
      <c r="J110" s="262"/>
      <c r="K110" s="262"/>
      <c r="L110" s="262"/>
    </row>
    <row r="111" spans="1:12" s="149" customFormat="1" x14ac:dyDescent="0.25">
      <c r="A111" s="260" t="s">
        <v>83</v>
      </c>
      <c r="B111" s="261" t="s">
        <v>178</v>
      </c>
      <c r="C111" s="262" t="s">
        <v>1106</v>
      </c>
      <c r="D111" s="263"/>
      <c r="E111" s="264"/>
      <c r="F111" s="583"/>
      <c r="G111" s="264"/>
      <c r="H111" s="263">
        <v>33.659999999999997</v>
      </c>
      <c r="I111" s="264">
        <v>0</v>
      </c>
      <c r="J111" s="262"/>
      <c r="K111" s="262"/>
      <c r="L111" s="262"/>
    </row>
    <row r="112" spans="1:12" s="149" customFormat="1" x14ac:dyDescent="0.25">
      <c r="A112" s="260" t="s">
        <v>84</v>
      </c>
      <c r="B112" s="261" t="s">
        <v>175</v>
      </c>
      <c r="C112" s="262" t="s">
        <v>1106</v>
      </c>
      <c r="D112" s="263"/>
      <c r="E112" s="264"/>
      <c r="F112" s="583"/>
      <c r="G112" s="264"/>
      <c r="H112" s="263">
        <v>33.659999999999997</v>
      </c>
      <c r="I112" s="264">
        <v>4</v>
      </c>
      <c r="J112" s="262"/>
      <c r="K112" s="262"/>
      <c r="L112" s="262"/>
    </row>
    <row r="113" spans="1:88" s="149" customFormat="1" x14ac:dyDescent="0.25">
      <c r="A113" s="260" t="s">
        <v>85</v>
      </c>
      <c r="B113" s="261" t="s">
        <v>184</v>
      </c>
      <c r="C113" s="262" t="s">
        <v>1106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2"/>
      <c r="L113" s="262"/>
    </row>
    <row r="114" spans="1:88" s="149" customFormat="1" x14ac:dyDescent="0.25">
      <c r="A114" s="260" t="s">
        <v>86</v>
      </c>
      <c r="B114" s="261" t="s">
        <v>185</v>
      </c>
      <c r="C114" s="262" t="s">
        <v>1106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88" s="149" customFormat="1" x14ac:dyDescent="0.25">
      <c r="A115" s="260" t="s">
        <v>87</v>
      </c>
      <c r="B115" s="261" t="s">
        <v>181</v>
      </c>
      <c r="C115" s="262" t="s">
        <v>1106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88" s="149" customFormat="1" x14ac:dyDescent="0.25">
      <c r="A116" s="260" t="s">
        <v>88</v>
      </c>
      <c r="B116" s="261" t="s">
        <v>172</v>
      </c>
      <c r="C116" s="262" t="s">
        <v>1106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88" s="149" customFormat="1" x14ac:dyDescent="0.25">
      <c r="A117" s="260" t="s">
        <v>89</v>
      </c>
      <c r="B117" s="261" t="s">
        <v>173</v>
      </c>
      <c r="C117" s="262" t="s">
        <v>1106</v>
      </c>
      <c r="D117" s="263"/>
      <c r="E117" s="264"/>
      <c r="F117" s="583"/>
      <c r="G117" s="264"/>
      <c r="H117" s="263">
        <v>38.47</v>
      </c>
      <c r="I117" s="264">
        <v>29</v>
      </c>
      <c r="J117" s="262"/>
      <c r="K117" s="262"/>
      <c r="L117" s="262"/>
    </row>
    <row r="118" spans="1:88" s="149" customFormat="1" x14ac:dyDescent="0.25">
      <c r="A118" s="260" t="s">
        <v>90</v>
      </c>
      <c r="B118" s="261" t="s">
        <v>174</v>
      </c>
      <c r="C118" s="262" t="s">
        <v>1106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2"/>
      <c r="L118" s="262"/>
    </row>
    <row r="119" spans="1:88" s="149" customFormat="1" x14ac:dyDescent="0.25">
      <c r="A119" s="260" t="s">
        <v>91</v>
      </c>
      <c r="B119" s="261" t="s">
        <v>182</v>
      </c>
      <c r="C119" s="262" t="s">
        <v>1106</v>
      </c>
      <c r="D119" s="263"/>
      <c r="E119" s="264"/>
      <c r="F119" s="583"/>
      <c r="G119" s="264"/>
      <c r="H119" s="263">
        <v>33.659999999999997</v>
      </c>
      <c r="I119" s="264">
        <v>6</v>
      </c>
      <c r="J119" s="262"/>
      <c r="K119" s="262"/>
      <c r="L119" s="262"/>
    </row>
    <row r="120" spans="1:88" s="149" customFormat="1" x14ac:dyDescent="0.25">
      <c r="A120" s="260" t="s">
        <v>92</v>
      </c>
      <c r="B120" s="261" t="s">
        <v>186</v>
      </c>
      <c r="C120" s="262" t="s">
        <v>1106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88" s="149" customFormat="1" x14ac:dyDescent="0.25">
      <c r="A121" s="260" t="s">
        <v>93</v>
      </c>
      <c r="B121" s="261" t="s">
        <v>183</v>
      </c>
      <c r="C121" s="262" t="s">
        <v>1106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88" s="149" customFormat="1" x14ac:dyDescent="0.25">
      <c r="A122" s="260" t="s">
        <v>103</v>
      </c>
      <c r="B122" s="261" t="s">
        <v>194</v>
      </c>
      <c r="C122" s="262" t="s">
        <v>1106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2"/>
      <c r="L122" s="262"/>
    </row>
    <row r="123" spans="1:88" s="149" customFormat="1" ht="26.25" x14ac:dyDescent="0.25">
      <c r="A123" s="260" t="s">
        <v>983</v>
      </c>
      <c r="B123" s="261" t="s">
        <v>981</v>
      </c>
      <c r="C123" s="262" t="s">
        <v>1106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88" s="149" customFormat="1" x14ac:dyDescent="0.25">
      <c r="A124" s="260" t="s">
        <v>980</v>
      </c>
      <c r="B124" s="261" t="s">
        <v>196</v>
      </c>
      <c r="C124" s="262" t="s">
        <v>1106</v>
      </c>
      <c r="D124" s="263"/>
      <c r="E124" s="264"/>
      <c r="F124" s="583"/>
      <c r="G124" s="264"/>
      <c r="H124" s="263">
        <v>51.29</v>
      </c>
      <c r="I124" s="264">
        <v>21</v>
      </c>
      <c r="J124" s="262"/>
      <c r="K124" s="262"/>
      <c r="L124" s="262"/>
    </row>
    <row r="125" spans="1:88" s="149" customFormat="1" x14ac:dyDescent="0.25">
      <c r="A125" s="267" t="s">
        <v>1076</v>
      </c>
      <c r="B125" s="268" t="s">
        <v>166</v>
      </c>
      <c r="C125" s="245"/>
      <c r="D125" s="269"/>
      <c r="E125" s="270"/>
      <c r="F125" s="544"/>
      <c r="G125" s="270"/>
      <c r="H125" s="269"/>
      <c r="I125" s="270"/>
      <c r="J125" s="245"/>
      <c r="K125" s="245"/>
      <c r="L125" s="245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</row>
    <row r="126" spans="1:88" s="149" customFormat="1" x14ac:dyDescent="0.25">
      <c r="A126" s="260" t="s">
        <v>1077</v>
      </c>
      <c r="B126" s="261" t="s">
        <v>193</v>
      </c>
      <c r="C126" s="262" t="s">
        <v>1106</v>
      </c>
      <c r="D126" s="263"/>
      <c r="E126" s="264"/>
      <c r="F126" s="583"/>
      <c r="G126" s="264"/>
      <c r="H126" s="263">
        <v>33.659999999999997</v>
      </c>
      <c r="I126" s="264">
        <v>15</v>
      </c>
      <c r="J126" s="262"/>
      <c r="K126" s="262"/>
      <c r="L126" s="262"/>
    </row>
    <row r="127" spans="1:88" s="149" customFormat="1" x14ac:dyDescent="0.25">
      <c r="A127" s="260" t="s">
        <v>1075</v>
      </c>
      <c r="B127" s="261" t="s">
        <v>192</v>
      </c>
      <c r="C127" s="262" t="s">
        <v>1106</v>
      </c>
      <c r="D127" s="263"/>
      <c r="E127" s="264"/>
      <c r="F127" s="583"/>
      <c r="G127" s="264"/>
      <c r="H127" s="263">
        <v>33.659999999999997</v>
      </c>
      <c r="I127" s="264">
        <v>0</v>
      </c>
      <c r="J127" s="262"/>
      <c r="K127" s="262"/>
      <c r="L127" s="262"/>
    </row>
    <row r="128" spans="1:88" s="149" customFormat="1" x14ac:dyDescent="0.25">
      <c r="A128" s="260" t="s">
        <v>1066</v>
      </c>
      <c r="B128" s="261" t="s">
        <v>139</v>
      </c>
      <c r="C128" s="262" t="s">
        <v>1113</v>
      </c>
      <c r="D128" s="263"/>
      <c r="E128" s="264"/>
      <c r="F128" s="583"/>
      <c r="G128" s="264"/>
      <c r="H128" s="263">
        <v>42.74</v>
      </c>
      <c r="I128" s="264">
        <v>37</v>
      </c>
      <c r="J128" s="262"/>
      <c r="K128" s="262"/>
      <c r="L128" s="262"/>
    </row>
    <row r="129" spans="1:12" s="149" customFormat="1" x14ac:dyDescent="0.25">
      <c r="A129" s="260" t="s">
        <v>64</v>
      </c>
      <c r="B129" s="261" t="s">
        <v>191</v>
      </c>
      <c r="C129" s="266" t="s">
        <v>1106</v>
      </c>
      <c r="D129" s="263"/>
      <c r="E129" s="264"/>
      <c r="F129" s="583"/>
      <c r="G129" s="264"/>
      <c r="H129" s="263">
        <v>48.08</v>
      </c>
      <c r="I129" s="264">
        <v>47</v>
      </c>
      <c r="J129" s="262"/>
      <c r="K129" s="262"/>
      <c r="L129" s="262"/>
    </row>
    <row r="130" spans="1:12" s="149" customFormat="1" x14ac:dyDescent="0.25">
      <c r="A130" s="260" t="s">
        <v>1093</v>
      </c>
      <c r="B130" s="261" t="s">
        <v>131</v>
      </c>
      <c r="C130" s="262" t="s">
        <v>1113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2"/>
      <c r="L130" s="262"/>
    </row>
    <row r="131" spans="1:12" s="149" customFormat="1" x14ac:dyDescent="0.25">
      <c r="A131" s="260" t="s">
        <v>1092</v>
      </c>
      <c r="B131" s="261" t="s">
        <v>133</v>
      </c>
      <c r="C131" s="262" t="s">
        <v>1113</v>
      </c>
      <c r="D131" s="263"/>
      <c r="E131" s="264"/>
      <c r="F131" s="583"/>
      <c r="G131" s="264"/>
      <c r="H131" s="263">
        <v>42.2</v>
      </c>
      <c r="I131" s="264">
        <v>36</v>
      </c>
      <c r="J131" s="262"/>
      <c r="K131" s="262"/>
      <c r="L131" s="262"/>
    </row>
    <row r="132" spans="1:12" s="149" customFormat="1" x14ac:dyDescent="0.25">
      <c r="A132" s="346" t="s">
        <v>309</v>
      </c>
      <c r="B132" s="261" t="s">
        <v>135</v>
      </c>
      <c r="C132" s="262" t="s">
        <v>1113</v>
      </c>
      <c r="D132" s="263"/>
      <c r="E132" s="264"/>
      <c r="F132" s="583"/>
      <c r="G132" s="264"/>
      <c r="H132" s="263">
        <v>1007.3</v>
      </c>
      <c r="I132" s="264">
        <v>1351</v>
      </c>
      <c r="J132" s="262"/>
      <c r="K132" s="262"/>
      <c r="L132" s="262"/>
    </row>
    <row r="133" spans="1:12" s="149" customFormat="1" x14ac:dyDescent="0.25">
      <c r="A133" s="346" t="s">
        <v>1091</v>
      </c>
      <c r="B133" s="261" t="s">
        <v>138</v>
      </c>
      <c r="C133" s="262" t="s">
        <v>1113</v>
      </c>
      <c r="D133" s="263"/>
      <c r="E133" s="264"/>
      <c r="F133" s="583"/>
      <c r="G133" s="264"/>
      <c r="H133" s="263">
        <v>33.659999999999997</v>
      </c>
      <c r="I133" s="264">
        <v>0</v>
      </c>
      <c r="J133" s="262"/>
      <c r="K133" s="262"/>
      <c r="L133" s="262"/>
    </row>
    <row r="134" spans="1:12" s="149" customFormat="1" x14ac:dyDescent="0.25">
      <c r="A134" s="260" t="s">
        <v>1090</v>
      </c>
      <c r="B134" s="261" t="s">
        <v>141</v>
      </c>
      <c r="C134" s="262" t="s">
        <v>1113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260" t="s">
        <v>1089</v>
      </c>
      <c r="B135" s="261" t="s">
        <v>143</v>
      </c>
      <c r="C135" s="266" t="s">
        <v>1113</v>
      </c>
      <c r="D135" s="263"/>
      <c r="E135" s="264"/>
      <c r="F135" s="583"/>
      <c r="G135" s="264"/>
      <c r="H135" s="263">
        <v>33.659999999999997</v>
      </c>
      <c r="I135" s="264">
        <v>3</v>
      </c>
      <c r="J135" s="262"/>
      <c r="K135" s="262"/>
      <c r="L135" s="262"/>
    </row>
    <row r="136" spans="1:12" s="149" customFormat="1" x14ac:dyDescent="0.25">
      <c r="A136" s="260" t="s">
        <v>1088</v>
      </c>
      <c r="B136" s="261" t="s">
        <v>145</v>
      </c>
      <c r="C136" s="262" t="s">
        <v>1113</v>
      </c>
      <c r="D136" s="263"/>
      <c r="E136" s="264"/>
      <c r="F136" s="583"/>
      <c r="G136" s="264"/>
      <c r="H136" s="263">
        <v>103.64</v>
      </c>
      <c r="I136" s="264">
        <v>142</v>
      </c>
      <c r="J136" s="262"/>
      <c r="K136" s="262"/>
      <c r="L136" s="262"/>
    </row>
    <row r="137" spans="1:12" s="149" customFormat="1" x14ac:dyDescent="0.25">
      <c r="A137" s="260" t="s">
        <v>1086</v>
      </c>
      <c r="B137" s="261" t="s">
        <v>147</v>
      </c>
      <c r="C137" s="262" t="s">
        <v>1113</v>
      </c>
      <c r="D137" s="263"/>
      <c r="E137" s="264"/>
      <c r="F137" s="583"/>
      <c r="G137" s="264"/>
      <c r="H137" s="263">
        <v>89.36</v>
      </c>
      <c r="I137" s="264">
        <v>120</v>
      </c>
      <c r="J137" s="262"/>
      <c r="K137" s="262"/>
      <c r="L137" s="262"/>
    </row>
    <row r="138" spans="1:12" s="149" customFormat="1" x14ac:dyDescent="0.25">
      <c r="A138" s="260" t="s">
        <v>176</v>
      </c>
      <c r="B138" s="661" t="s">
        <v>165</v>
      </c>
      <c r="C138" s="262" t="s">
        <v>1087</v>
      </c>
      <c r="D138" s="263"/>
      <c r="E138" s="264"/>
      <c r="F138" s="583"/>
      <c r="G138" s="264"/>
      <c r="H138" s="263">
        <v>56.62</v>
      </c>
      <c r="I138" s="264">
        <v>63</v>
      </c>
      <c r="J138" s="262"/>
      <c r="K138" s="262"/>
      <c r="L138" s="262"/>
    </row>
    <row r="139" spans="1:12" s="199" customFormat="1" x14ac:dyDescent="0.25">
      <c r="A139" s="280" t="s">
        <v>433</v>
      </c>
      <c r="B139" s="302"/>
      <c r="C139" s="249"/>
      <c r="D139" s="250"/>
      <c r="E139" s="251"/>
      <c r="F139" s="543"/>
      <c r="G139" s="251"/>
      <c r="H139" s="250"/>
      <c r="I139" s="251"/>
      <c r="J139" s="249"/>
      <c r="K139" s="249"/>
      <c r="L139" s="249"/>
    </row>
    <row r="140" spans="1:12" s="149" customFormat="1" x14ac:dyDescent="0.25">
      <c r="A140" s="260" t="s">
        <v>107</v>
      </c>
      <c r="B140" s="261">
        <v>67</v>
      </c>
      <c r="C140" s="266" t="s">
        <v>1107</v>
      </c>
      <c r="D140" s="263"/>
      <c r="E140" s="264"/>
      <c r="F140" s="583"/>
      <c r="G140" s="264"/>
      <c r="H140" s="263">
        <v>47.5</v>
      </c>
      <c r="I140" s="264">
        <v>0</v>
      </c>
      <c r="J140" s="262"/>
      <c r="K140" s="262"/>
      <c r="L140" s="262"/>
    </row>
    <row r="141" spans="1:12" s="149" customFormat="1" x14ac:dyDescent="0.25">
      <c r="A141" s="260" t="s">
        <v>109</v>
      </c>
      <c r="B141" s="670">
        <v>95</v>
      </c>
      <c r="C141" s="262" t="s">
        <v>1107</v>
      </c>
      <c r="D141" s="263"/>
      <c r="E141" s="264"/>
      <c r="F141" s="583"/>
      <c r="G141" s="264"/>
      <c r="H141" s="263">
        <v>120</v>
      </c>
      <c r="I141" s="264">
        <v>1100</v>
      </c>
      <c r="J141" s="262"/>
      <c r="K141" s="262"/>
      <c r="L141" s="262"/>
    </row>
    <row r="142" spans="1:12" s="199" customFormat="1" x14ac:dyDescent="0.25">
      <c r="A142" s="247" t="s">
        <v>432</v>
      </c>
      <c r="B142" s="663"/>
      <c r="C142" s="249"/>
      <c r="D142" s="250"/>
      <c r="E142" s="251"/>
      <c r="F142" s="543"/>
      <c r="G142" s="251"/>
      <c r="H142" s="250"/>
      <c r="I142" s="251"/>
      <c r="J142" s="249"/>
      <c r="K142" s="249"/>
      <c r="L142" s="249"/>
    </row>
    <row r="143" spans="1:12" s="149" customFormat="1" x14ac:dyDescent="0.25">
      <c r="A143" s="260" t="s">
        <v>383</v>
      </c>
      <c r="B143" s="661">
        <v>61</v>
      </c>
      <c r="C143" s="266">
        <v>43141</v>
      </c>
      <c r="D143" s="263"/>
      <c r="E143" s="264"/>
      <c r="F143" s="583"/>
      <c r="G143" s="264"/>
      <c r="H143" s="263">
        <v>35.18</v>
      </c>
      <c r="I143" s="264">
        <v>50</v>
      </c>
      <c r="J143" s="262"/>
      <c r="K143" s="262"/>
      <c r="L143" s="262"/>
    </row>
    <row r="144" spans="1:12" s="199" customFormat="1" x14ac:dyDescent="0.25">
      <c r="A144" s="280" t="s">
        <v>431</v>
      </c>
      <c r="B144" s="302"/>
      <c r="C144" s="249"/>
      <c r="D144" s="250"/>
      <c r="E144" s="251"/>
      <c r="F144" s="543"/>
      <c r="G144" s="251"/>
      <c r="H144" s="250"/>
      <c r="I144" s="251"/>
      <c r="J144" s="249"/>
      <c r="K144" s="249"/>
      <c r="L144" s="249"/>
    </row>
    <row r="145" spans="1:88" s="149" customFormat="1" ht="26.25" x14ac:dyDescent="0.25">
      <c r="A145" s="260" t="s">
        <v>40</v>
      </c>
      <c r="B145" s="661">
        <v>95</v>
      </c>
      <c r="C145" s="266" t="s">
        <v>1105</v>
      </c>
      <c r="D145" s="263"/>
      <c r="E145" s="264"/>
      <c r="F145" s="583"/>
      <c r="G145" s="264"/>
      <c r="H145" s="263">
        <v>20</v>
      </c>
      <c r="I145" s="264">
        <v>300</v>
      </c>
      <c r="J145" s="262"/>
      <c r="K145" s="262"/>
      <c r="L145" s="262"/>
    </row>
    <row r="146" spans="1:88" s="199" customFormat="1" ht="26.25" x14ac:dyDescent="0.25">
      <c r="A146" s="280" t="s">
        <v>430</v>
      </c>
      <c r="B146" s="302" t="s">
        <v>356</v>
      </c>
      <c r="C146" s="303"/>
      <c r="D146" s="250"/>
      <c r="E146" s="251"/>
      <c r="F146" s="543"/>
      <c r="G146" s="251"/>
      <c r="H146" s="250"/>
      <c r="I146" s="251"/>
      <c r="J146" s="249"/>
      <c r="K146" s="249"/>
      <c r="L146" s="249"/>
    </row>
    <row r="147" spans="1:88" s="149" customFormat="1" x14ac:dyDescent="0.25">
      <c r="A147" s="267" t="s">
        <v>355</v>
      </c>
      <c r="B147" s="245"/>
      <c r="C147" s="289"/>
      <c r="D147" s="269"/>
      <c r="E147" s="270"/>
      <c r="F147" s="544"/>
      <c r="G147" s="270"/>
      <c r="H147" s="269"/>
      <c r="I147" s="270"/>
      <c r="J147" s="245"/>
      <c r="K147" s="245"/>
      <c r="L147" s="245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184" customFormat="1" ht="46.5" customHeight="1" x14ac:dyDescent="0.25">
      <c r="A148" s="245"/>
      <c r="B148" s="245"/>
      <c r="C148" s="245"/>
      <c r="D148" s="269"/>
      <c r="E148" s="270"/>
      <c r="F148" s="544"/>
      <c r="G148" s="270"/>
      <c r="H148" s="269"/>
      <c r="I148" s="270"/>
      <c r="J148" s="292"/>
      <c r="K148" s="245"/>
      <c r="L148" s="245"/>
    </row>
    <row r="149" spans="1:88" s="184" customForma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45"/>
      <c r="K149" s="245"/>
      <c r="L149" s="245"/>
    </row>
    <row r="150" spans="1:88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1108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67"/>
      <c r="B4" s="668"/>
      <c r="C4" s="668"/>
      <c r="D4" s="668"/>
      <c r="E4" s="668"/>
      <c r="F4" s="668"/>
      <c r="G4" s="66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235930.46</v>
      </c>
      <c r="D13" s="34"/>
      <c r="E13" s="35" t="s">
        <v>33</v>
      </c>
      <c r="F13" s="34"/>
      <c r="G13" s="42">
        <v>22621.07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6165</v>
      </c>
      <c r="D15" s="34"/>
      <c r="E15" s="35" t="s">
        <v>10</v>
      </c>
      <c r="F15" s="34"/>
      <c r="G15" s="42">
        <v>5146.3500000000004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48359.3</v>
      </c>
      <c r="D17" s="34"/>
      <c r="E17" s="35" t="s">
        <v>278</v>
      </c>
      <c r="F17" s="34"/>
      <c r="G17" s="42">
        <v>3381.07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257"/>
  <sheetViews>
    <sheetView zoomScaleNormal="100" workbookViewId="0">
      <pane ySplit="2" topLeftCell="A51" activePane="bottomLeft" state="frozen"/>
      <selection pane="bottomLeft" activeCell="K64" sqref="K64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25.140625" style="245" customWidth="1"/>
    <col min="12" max="12" width="17.7109375" style="245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1045</v>
      </c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371" customFormat="1" x14ac:dyDescent="0.25">
      <c r="A2" s="653" t="s">
        <v>437</v>
      </c>
      <c r="B2" s="657"/>
      <c r="C2" s="367"/>
      <c r="D2" s="368"/>
      <c r="E2" s="369"/>
      <c r="F2" s="654"/>
      <c r="G2" s="369"/>
      <c r="H2" s="368"/>
      <c r="I2" s="369"/>
      <c r="J2" s="367"/>
      <c r="K2" s="367"/>
      <c r="L2" s="367"/>
    </row>
    <row r="3" spans="1:12" s="148" customFormat="1" x14ac:dyDescent="0.25">
      <c r="A3" s="346" t="s">
        <v>339</v>
      </c>
      <c r="B3" s="255">
        <v>3038136345</v>
      </c>
      <c r="C3" s="256" t="s">
        <v>1072</v>
      </c>
      <c r="D3" s="257"/>
      <c r="E3" s="258"/>
      <c r="F3" s="586">
        <v>1269.8499999999999</v>
      </c>
      <c r="G3" s="258">
        <v>1669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1070</v>
      </c>
      <c r="D4" s="263"/>
      <c r="E4" s="264"/>
      <c r="F4" s="583">
        <v>289.66000000000003</v>
      </c>
      <c r="G4" s="264">
        <v>331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1069</v>
      </c>
      <c r="D5" s="257"/>
      <c r="E5" s="258"/>
      <c r="F5" s="586">
        <v>390.79</v>
      </c>
      <c r="G5" s="258">
        <v>469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1073</v>
      </c>
      <c r="D6" s="263"/>
      <c r="E6" s="264"/>
      <c r="F6" s="583">
        <v>298.32</v>
      </c>
      <c r="G6" s="264">
        <v>351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260" t="s">
        <v>41</v>
      </c>
      <c r="B7" s="261">
        <v>3044004323</v>
      </c>
      <c r="C7" s="262" t="s">
        <v>1069</v>
      </c>
      <c r="D7" s="263"/>
      <c r="E7" s="264"/>
      <c r="F7" s="583">
        <v>172.12</v>
      </c>
      <c r="G7" s="264">
        <v>171</v>
      </c>
      <c r="H7" s="263"/>
      <c r="I7" s="264"/>
      <c r="J7" s="262" t="s">
        <v>10</v>
      </c>
      <c r="K7" s="262"/>
      <c r="L7" s="262"/>
    </row>
    <row r="8" spans="1:12" s="149" customFormat="1" ht="24" customHeight="1" x14ac:dyDescent="0.25">
      <c r="A8" s="260" t="s">
        <v>42</v>
      </c>
      <c r="B8" s="261">
        <v>3029257704</v>
      </c>
      <c r="C8" s="262" t="s">
        <v>1069</v>
      </c>
      <c r="D8" s="263"/>
      <c r="E8" s="264"/>
      <c r="F8" s="583">
        <v>91.66</v>
      </c>
      <c r="G8" s="264">
        <v>49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1071</v>
      </c>
      <c r="D9" s="263"/>
      <c r="E9" s="264"/>
      <c r="F9" s="583">
        <v>691.3</v>
      </c>
      <c r="G9" s="264">
        <v>897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1071</v>
      </c>
      <c r="D10" s="263"/>
      <c r="E10" s="264"/>
      <c r="F10" s="583">
        <v>427.87</v>
      </c>
      <c r="G10" s="264">
        <v>530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1069</v>
      </c>
      <c r="D11" s="263"/>
      <c r="E11" s="264"/>
      <c r="F11" s="583">
        <v>61.32</v>
      </c>
      <c r="G11" s="264">
        <v>3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7" t="s">
        <v>46</v>
      </c>
      <c r="B12" s="268">
        <v>3023189549</v>
      </c>
      <c r="C12" s="245"/>
      <c r="D12" s="269"/>
      <c r="E12" s="270"/>
      <c r="F12" s="544"/>
      <c r="G12" s="270"/>
      <c r="H12" s="269"/>
      <c r="I12" s="270"/>
      <c r="J12" s="245" t="s">
        <v>10</v>
      </c>
      <c r="K12" s="245"/>
      <c r="L12" s="245"/>
    </row>
    <row r="13" spans="1:12" s="149" customFormat="1" x14ac:dyDescent="0.25">
      <c r="A13" s="260" t="s">
        <v>47</v>
      </c>
      <c r="B13" s="261">
        <v>3034878837</v>
      </c>
      <c r="C13" s="262" t="s">
        <v>1071</v>
      </c>
      <c r="D13" s="263"/>
      <c r="E13" s="264"/>
      <c r="F13" s="583">
        <v>464.29</v>
      </c>
      <c r="G13" s="264">
        <v>572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1073</v>
      </c>
      <c r="D14" s="263"/>
      <c r="E14" s="264"/>
      <c r="F14" s="583">
        <v>152.49</v>
      </c>
      <c r="G14" s="264">
        <v>147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1071</v>
      </c>
      <c r="D15" s="263"/>
      <c r="E15" s="264"/>
      <c r="F15" s="583">
        <v>467.19</v>
      </c>
      <c r="G15" s="264">
        <v>576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1078</v>
      </c>
      <c r="D16" s="263"/>
      <c r="E16" s="264"/>
      <c r="F16" s="583">
        <v>174.77</v>
      </c>
      <c r="G16" s="264">
        <v>178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1078</v>
      </c>
      <c r="D17" s="263"/>
      <c r="E17" s="264"/>
      <c r="F17" s="583">
        <v>194.72</v>
      </c>
      <c r="G17" s="264">
        <v>222</v>
      </c>
      <c r="H17" s="263"/>
      <c r="I17" s="264"/>
      <c r="J17" s="262" t="s">
        <v>10</v>
      </c>
      <c r="K17" s="262"/>
      <c r="L17" s="262"/>
    </row>
    <row r="18" spans="1:12" s="647" customFormat="1" ht="14.25" customHeight="1" x14ac:dyDescent="0.25">
      <c r="A18" s="648" t="s">
        <v>755</v>
      </c>
      <c r="B18" s="658"/>
      <c r="C18" s="649"/>
      <c r="D18" s="650"/>
      <c r="E18" s="651"/>
      <c r="F18" s="652"/>
      <c r="G18" s="651"/>
      <c r="H18" s="650"/>
      <c r="I18" s="651"/>
      <c r="J18" s="649"/>
      <c r="K18" s="649" t="s">
        <v>758</v>
      </c>
      <c r="L18" s="649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1065</v>
      </c>
      <c r="D19" s="572">
        <v>27.36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1065</v>
      </c>
      <c r="D20" s="572">
        <v>193.9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1065</v>
      </c>
      <c r="D21" s="572">
        <v>730.7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1085</v>
      </c>
      <c r="D22" s="572">
        <v>16.010000000000002</v>
      </c>
      <c r="E22" s="564">
        <v>42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1065</v>
      </c>
      <c r="D23" s="572">
        <v>15.44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1080</v>
      </c>
      <c r="D24" s="572">
        <v>107.62</v>
      </c>
      <c r="E24" s="564">
        <v>1388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1080</v>
      </c>
      <c r="D25" s="572">
        <v>4268.5</v>
      </c>
      <c r="E25" s="564">
        <v>74700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1065</v>
      </c>
      <c r="D26" s="572">
        <v>232.89</v>
      </c>
      <c r="E26" s="564">
        <v>1830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1080</v>
      </c>
      <c r="D27" s="572">
        <v>63.9</v>
      </c>
      <c r="E27" s="564">
        <v>300</v>
      </c>
      <c r="F27" s="604" t="s">
        <v>1083</v>
      </c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46" t="s">
        <v>853</v>
      </c>
      <c r="B28" s="546">
        <v>5216006449</v>
      </c>
      <c r="C28" s="546"/>
      <c r="D28" s="618"/>
      <c r="E28" s="547"/>
      <c r="F28" s="548"/>
      <c r="G28" s="547"/>
      <c r="H28" s="618"/>
      <c r="I28" s="547"/>
      <c r="J28" s="546"/>
      <c r="K28" s="546" t="s">
        <v>786</v>
      </c>
      <c r="L28" s="546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1065</v>
      </c>
      <c r="D29" s="572">
        <v>542.39</v>
      </c>
      <c r="E29" s="564">
        <v>5820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1097</v>
      </c>
      <c r="D30" s="572">
        <v>1273.58</v>
      </c>
      <c r="E30" s="564">
        <v>12626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1065</v>
      </c>
      <c r="D31" s="572">
        <v>1145.81</v>
      </c>
      <c r="E31" s="564">
        <v>15540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1065</v>
      </c>
      <c r="D32" s="572">
        <v>13.61</v>
      </c>
      <c r="E32" s="564">
        <v>6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2.25" customHeight="1" x14ac:dyDescent="0.25">
      <c r="A33" s="563" t="s">
        <v>858</v>
      </c>
      <c r="B33" s="563">
        <v>5216006454</v>
      </c>
      <c r="C33" s="563" t="s">
        <v>1065</v>
      </c>
      <c r="D33" s="572">
        <v>21.54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1082</v>
      </c>
      <c r="D34" s="572">
        <v>21.59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1095</v>
      </c>
      <c r="D35" s="572">
        <v>274.61</v>
      </c>
      <c r="E35" s="564">
        <v>542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1095</v>
      </c>
      <c r="D36" s="572">
        <v>75.349999999999994</v>
      </c>
      <c r="E36" s="564">
        <v>428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1080</v>
      </c>
      <c r="D37" s="572">
        <v>346.4</v>
      </c>
      <c r="E37" s="564">
        <v>4084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1097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1095</v>
      </c>
      <c r="D39" s="572">
        <v>44.52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1082</v>
      </c>
      <c r="D40" s="572">
        <v>174.11</v>
      </c>
      <c r="E40" s="564">
        <v>2407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46" t="s">
        <v>847</v>
      </c>
      <c r="B41" s="546">
        <v>5216007172</v>
      </c>
      <c r="C41" s="546"/>
      <c r="D41" s="618"/>
      <c r="E41" s="547"/>
      <c r="F41" s="548"/>
      <c r="G41" s="547"/>
      <c r="H41" s="618"/>
      <c r="I41" s="547"/>
      <c r="J41" s="546"/>
      <c r="K41" s="546" t="s">
        <v>799</v>
      </c>
      <c r="L41" s="546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1065</v>
      </c>
      <c r="D42" s="572">
        <v>15.44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1065</v>
      </c>
      <c r="D43" s="572">
        <v>18.52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1081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1095</v>
      </c>
      <c r="D45" s="572">
        <v>428.61</v>
      </c>
      <c r="E45" s="564">
        <v>1574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563" t="s">
        <v>832</v>
      </c>
      <c r="B46" s="563">
        <v>5216006468</v>
      </c>
      <c r="C46" s="563" t="s">
        <v>1065</v>
      </c>
      <c r="D46" s="572">
        <v>326.74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1065</v>
      </c>
      <c r="D47" s="572">
        <v>245.65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1065</v>
      </c>
      <c r="D48" s="572">
        <v>1096.8499999999999</v>
      </c>
      <c r="E48" s="564">
        <v>12960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1085</v>
      </c>
      <c r="D49" s="572">
        <v>13.22</v>
      </c>
      <c r="E49" s="564">
        <v>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1085</v>
      </c>
      <c r="D50" s="572">
        <v>15.59</v>
      </c>
      <c r="E50" s="564">
        <v>65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1082</v>
      </c>
      <c r="D51" s="572">
        <v>264.39</v>
      </c>
      <c r="E51" s="564">
        <v>3289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1095</v>
      </c>
      <c r="D52" s="572">
        <v>158.03</v>
      </c>
      <c r="E52" s="564">
        <v>977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1065</v>
      </c>
      <c r="D53" s="572">
        <v>21.54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1097</v>
      </c>
      <c r="D55" s="572">
        <v>47.71</v>
      </c>
      <c r="E55" s="564">
        <v>64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1084</v>
      </c>
      <c r="D56" s="572">
        <v>139.88</v>
      </c>
      <c r="E56" s="564">
        <v>1910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1085</v>
      </c>
      <c r="D57" s="572">
        <v>106.66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1095</v>
      </c>
      <c r="D58" s="572">
        <v>1396.23</v>
      </c>
      <c r="E58" s="564">
        <v>9480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1097</v>
      </c>
      <c r="D59" s="572">
        <v>240.93</v>
      </c>
      <c r="E59" s="564">
        <v>1414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1082</v>
      </c>
      <c r="D60" s="572">
        <v>27.46</v>
      </c>
      <c r="E60" s="564">
        <v>213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1095</v>
      </c>
      <c r="D61" s="572">
        <v>293.67</v>
      </c>
      <c r="E61" s="564">
        <v>1986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1065</v>
      </c>
      <c r="D62" s="572">
        <v>356.47</v>
      </c>
      <c r="E62" s="564">
        <v>3443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1065</v>
      </c>
      <c r="D63" s="572">
        <v>24.59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1095</v>
      </c>
      <c r="D64" s="572">
        <v>44.52</v>
      </c>
      <c r="E64" s="564">
        <v>150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563" t="s">
        <v>862</v>
      </c>
      <c r="B65" s="563">
        <v>5216006487</v>
      </c>
      <c r="C65" s="563" t="s">
        <v>1065</v>
      </c>
      <c r="D65" s="572">
        <v>1071.78</v>
      </c>
      <c r="E65" s="564">
        <v>9600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1080</v>
      </c>
      <c r="D66" s="572">
        <v>83.2</v>
      </c>
      <c r="E66" s="564">
        <v>1045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1080</v>
      </c>
      <c r="D67" s="572">
        <v>60.03</v>
      </c>
      <c r="E67" s="564">
        <v>699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371" customFormat="1" ht="26.25" x14ac:dyDescent="0.25">
      <c r="A68" s="655" t="s">
        <v>878</v>
      </c>
      <c r="B68" s="659"/>
      <c r="C68" s="367"/>
      <c r="D68" s="368"/>
      <c r="E68" s="369"/>
      <c r="F68" s="654"/>
      <c r="G68" s="369"/>
      <c r="H68" s="368"/>
      <c r="I68" s="369"/>
      <c r="J68" s="367"/>
      <c r="K68" s="367"/>
      <c r="L68" s="367"/>
    </row>
    <row r="69" spans="1:12" s="149" customFormat="1" ht="26.25" x14ac:dyDescent="0.25">
      <c r="A69" s="260" t="s">
        <v>51</v>
      </c>
      <c r="B69" s="261" t="s">
        <v>208</v>
      </c>
      <c r="C69" s="266" t="s">
        <v>1074</v>
      </c>
      <c r="D69" s="263">
        <v>208</v>
      </c>
      <c r="E69" s="264">
        <v>1960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1074</v>
      </c>
      <c r="D70" s="263">
        <v>181</v>
      </c>
      <c r="E70" s="264">
        <v>1448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1074</v>
      </c>
      <c r="D71" s="263">
        <v>117</v>
      </c>
      <c r="E71" s="264">
        <v>731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1074</v>
      </c>
      <c r="D72" s="263">
        <v>43</v>
      </c>
      <c r="E72" s="264">
        <v>137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1074</v>
      </c>
      <c r="D73" s="263">
        <v>37</v>
      </c>
      <c r="E73" s="264">
        <v>70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1074</v>
      </c>
      <c r="D74" s="263">
        <v>317</v>
      </c>
      <c r="E74" s="264">
        <v>2953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1074</v>
      </c>
      <c r="D75" s="263">
        <v>377</v>
      </c>
      <c r="E75" s="264">
        <v>3935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1074</v>
      </c>
      <c r="D76" s="263">
        <v>60</v>
      </c>
      <c r="E76" s="264">
        <v>330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1074</v>
      </c>
      <c r="D77" s="263">
        <v>114</v>
      </c>
      <c r="E77" s="264">
        <v>706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1074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1074</v>
      </c>
      <c r="D79" s="263">
        <v>51</v>
      </c>
      <c r="E79" s="264">
        <v>228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1074</v>
      </c>
      <c r="D80" s="263">
        <v>51.98</v>
      </c>
      <c r="E80" s="264">
        <v>22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1074</v>
      </c>
      <c r="D81" s="257">
        <v>68</v>
      </c>
      <c r="E81" s="258">
        <v>245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260" t="s">
        <v>768</v>
      </c>
      <c r="B82" s="261" t="s">
        <v>202</v>
      </c>
      <c r="C82" s="266" t="s">
        <v>1074</v>
      </c>
      <c r="D82" s="263">
        <v>1431</v>
      </c>
      <c r="E82" s="264">
        <v>16080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96</v>
      </c>
      <c r="B83" s="261">
        <v>7815400</v>
      </c>
      <c r="C83" s="262" t="s">
        <v>1074</v>
      </c>
      <c r="D83" s="263">
        <v>46</v>
      </c>
      <c r="E83" s="264">
        <v>88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97</v>
      </c>
      <c r="B84" s="261" t="s">
        <v>204</v>
      </c>
      <c r="C84" s="262" t="s">
        <v>1074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98</v>
      </c>
      <c r="B85" s="261" t="s">
        <v>205</v>
      </c>
      <c r="C85" s="262" t="s">
        <v>1074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769</v>
      </c>
      <c r="B86" s="261" t="s">
        <v>206</v>
      </c>
      <c r="C86" s="262" t="s">
        <v>1074</v>
      </c>
      <c r="D86" s="263">
        <v>49</v>
      </c>
      <c r="E86" s="264">
        <v>124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100</v>
      </c>
      <c r="B87" s="282">
        <v>1323346600</v>
      </c>
      <c r="C87" s="262" t="s">
        <v>1074</v>
      </c>
      <c r="D87" s="263">
        <v>276</v>
      </c>
      <c r="E87" s="264">
        <v>1500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101</v>
      </c>
      <c r="B88" s="282">
        <v>1322699400</v>
      </c>
      <c r="C88" s="266" t="s">
        <v>1074</v>
      </c>
      <c r="D88" s="263">
        <v>270</v>
      </c>
      <c r="E88" s="264">
        <v>2040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346" t="s">
        <v>772</v>
      </c>
      <c r="B89" s="347" t="s">
        <v>200</v>
      </c>
      <c r="C89" s="348" t="s">
        <v>1074</v>
      </c>
      <c r="D89" s="349">
        <v>269</v>
      </c>
      <c r="E89" s="350">
        <v>17.46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260" t="s">
        <v>110</v>
      </c>
      <c r="B90" s="261" t="s">
        <v>207</v>
      </c>
      <c r="C90" s="262" t="s">
        <v>1074</v>
      </c>
      <c r="D90" s="263">
        <v>119</v>
      </c>
      <c r="E90" s="264">
        <v>295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7" t="s">
        <v>111</v>
      </c>
      <c r="B91" s="268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</row>
    <row r="92" spans="1:12" s="149" customFormat="1" ht="15.75" customHeight="1" x14ac:dyDescent="0.25">
      <c r="A92" s="260" t="s">
        <v>117</v>
      </c>
      <c r="B92" s="261" t="s">
        <v>220</v>
      </c>
      <c r="C92" s="262" t="s">
        <v>1074</v>
      </c>
      <c r="D92" s="263">
        <v>81</v>
      </c>
      <c r="E92" s="264">
        <v>356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118</v>
      </c>
      <c r="B93" s="261" t="s">
        <v>221</v>
      </c>
      <c r="C93" s="266" t="s">
        <v>1074</v>
      </c>
      <c r="D93" s="263">
        <v>57</v>
      </c>
      <c r="E93" s="264">
        <v>291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260" t="s">
        <v>701</v>
      </c>
      <c r="B94" s="261">
        <v>1323115001</v>
      </c>
      <c r="C94" s="266" t="s">
        <v>1074</v>
      </c>
      <c r="D94" s="263">
        <v>1268</v>
      </c>
      <c r="E94" s="264">
        <v>13920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683</v>
      </c>
      <c r="B95" s="261">
        <v>1322673502</v>
      </c>
      <c r="C95" s="266" t="s">
        <v>1074</v>
      </c>
      <c r="D95" s="263">
        <v>108</v>
      </c>
      <c r="E95" s="264">
        <v>639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260" t="s">
        <v>702</v>
      </c>
      <c r="B96" s="261">
        <v>1322725900</v>
      </c>
      <c r="C96" s="266" t="s">
        <v>1074</v>
      </c>
      <c r="D96" s="263">
        <v>755</v>
      </c>
      <c r="E96" s="264">
        <v>9600</v>
      </c>
      <c r="F96" s="583"/>
      <c r="G96" s="264"/>
      <c r="H96" s="263"/>
      <c r="I96" s="264"/>
      <c r="J96" s="262"/>
      <c r="K96" s="262"/>
      <c r="L96" s="262"/>
    </row>
    <row r="97" spans="1:12" s="371" customFormat="1" x14ac:dyDescent="0.25">
      <c r="A97" s="655" t="s">
        <v>434</v>
      </c>
      <c r="B97" s="659"/>
      <c r="C97" s="367"/>
      <c r="D97" s="368"/>
      <c r="E97" s="369"/>
      <c r="F97" s="654"/>
      <c r="G97" s="369"/>
      <c r="H97" s="368"/>
      <c r="I97" s="369"/>
      <c r="J97" s="367"/>
      <c r="K97" s="367"/>
      <c r="L97" s="367"/>
    </row>
    <row r="98" spans="1:12" s="149" customFormat="1" x14ac:dyDescent="0.25">
      <c r="A98" s="260" t="s">
        <v>65</v>
      </c>
      <c r="B98" s="261" t="s">
        <v>163</v>
      </c>
      <c r="C98" s="262" t="s">
        <v>1074</v>
      </c>
      <c r="D98" s="263"/>
      <c r="E98" s="264"/>
      <c r="F98" s="583"/>
      <c r="G98" s="264"/>
      <c r="H98" s="263">
        <v>115.98</v>
      </c>
      <c r="I98" s="264">
        <v>161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6" t="s">
        <v>1074</v>
      </c>
      <c r="D99" s="263"/>
      <c r="E99" s="264"/>
      <c r="F99" s="583"/>
      <c r="G99" s="264"/>
      <c r="H99" s="263">
        <v>67.3</v>
      </c>
      <c r="I99" s="264">
        <v>83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1074</v>
      </c>
      <c r="D100" s="263"/>
      <c r="E100" s="264"/>
      <c r="F100" s="583"/>
      <c r="G100" s="264"/>
      <c r="H100" s="263">
        <v>54.15</v>
      </c>
      <c r="I100" s="264">
        <v>36.33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1074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1074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1074</v>
      </c>
      <c r="D103" s="263"/>
      <c r="E103" s="264"/>
      <c r="F103" s="583"/>
      <c r="G103" s="264"/>
      <c r="H103" s="263">
        <v>33.659999999999997</v>
      </c>
      <c r="I103" s="264">
        <v>0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1074</v>
      </c>
      <c r="D104" s="263"/>
      <c r="E104" s="264"/>
      <c r="F104" s="583"/>
      <c r="G104" s="264"/>
      <c r="H104" s="263">
        <v>51.28</v>
      </c>
      <c r="I104" s="264">
        <v>53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1074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1074</v>
      </c>
      <c r="D106" s="263"/>
      <c r="E106" s="264"/>
      <c r="F106" s="583"/>
      <c r="G106" s="264"/>
      <c r="H106" s="263">
        <v>198.48</v>
      </c>
      <c r="I106" s="264">
        <v>285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1074</v>
      </c>
      <c r="D107" s="263"/>
      <c r="E107" s="264"/>
      <c r="F107" s="583"/>
      <c r="G107" s="264"/>
      <c r="H107" s="263">
        <v>33.659999999999997</v>
      </c>
      <c r="I107" s="264">
        <v>6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1074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1074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1074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1074</v>
      </c>
      <c r="D111" s="263"/>
      <c r="E111" s="264"/>
      <c r="F111" s="583"/>
      <c r="G111" s="264"/>
      <c r="H111" s="263">
        <v>33.659999999999997</v>
      </c>
      <c r="I111" s="264">
        <v>2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1074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2"/>
      <c r="L112" s="262"/>
    </row>
    <row r="113" spans="1:12" s="149" customFormat="1" x14ac:dyDescent="0.25">
      <c r="A113" s="260" t="s">
        <v>84</v>
      </c>
      <c r="B113" s="261" t="s">
        <v>175</v>
      </c>
      <c r="C113" s="262" t="s">
        <v>1074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2"/>
      <c r="L113" s="262"/>
    </row>
    <row r="114" spans="1:12" s="149" customFormat="1" x14ac:dyDescent="0.25">
      <c r="A114" s="260" t="s">
        <v>85</v>
      </c>
      <c r="B114" s="261" t="s">
        <v>184</v>
      </c>
      <c r="C114" s="262" t="s">
        <v>1074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260" t="s">
        <v>86</v>
      </c>
      <c r="B115" s="261" t="s">
        <v>185</v>
      </c>
      <c r="C115" s="262" t="s">
        <v>1074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260" t="s">
        <v>87</v>
      </c>
      <c r="B116" s="261" t="s">
        <v>181</v>
      </c>
      <c r="C116" s="262" t="s">
        <v>1074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260" t="s">
        <v>88</v>
      </c>
      <c r="B117" s="261" t="s">
        <v>172</v>
      </c>
      <c r="C117" s="262" t="s">
        <v>1074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2"/>
      <c r="L117" s="262"/>
    </row>
    <row r="118" spans="1:12" s="149" customFormat="1" x14ac:dyDescent="0.25">
      <c r="A118" s="260" t="s">
        <v>89</v>
      </c>
      <c r="B118" s="261" t="s">
        <v>173</v>
      </c>
      <c r="C118" s="262" t="s">
        <v>1074</v>
      </c>
      <c r="D118" s="263"/>
      <c r="E118" s="264"/>
      <c r="F118" s="583"/>
      <c r="G118" s="264"/>
      <c r="H118" s="263">
        <v>33.659999999999997</v>
      </c>
      <c r="I118" s="264">
        <v>6</v>
      </c>
      <c r="J118" s="262"/>
      <c r="K118" s="262"/>
      <c r="L118" s="262"/>
    </row>
    <row r="119" spans="1:12" s="149" customFormat="1" x14ac:dyDescent="0.25">
      <c r="A119" s="260" t="s">
        <v>90</v>
      </c>
      <c r="B119" s="261" t="s">
        <v>174</v>
      </c>
      <c r="C119" s="262" t="s">
        <v>1074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260" t="s">
        <v>91</v>
      </c>
      <c r="B120" s="261" t="s">
        <v>182</v>
      </c>
      <c r="C120" s="262" t="s">
        <v>1074</v>
      </c>
      <c r="D120" s="263"/>
      <c r="E120" s="264"/>
      <c r="F120" s="583"/>
      <c r="G120" s="264"/>
      <c r="H120" s="263">
        <v>33.659999999999997</v>
      </c>
      <c r="I120" s="264">
        <v>6</v>
      </c>
      <c r="J120" s="262"/>
      <c r="K120" s="262"/>
      <c r="L120" s="262"/>
    </row>
    <row r="121" spans="1:12" s="149" customFormat="1" x14ac:dyDescent="0.25">
      <c r="A121" s="260" t="s">
        <v>92</v>
      </c>
      <c r="B121" s="261" t="s">
        <v>186</v>
      </c>
      <c r="C121" s="262" t="s">
        <v>1074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2" s="149" customFormat="1" x14ac:dyDescent="0.25">
      <c r="A122" s="260" t="s">
        <v>93</v>
      </c>
      <c r="B122" s="261" t="s">
        <v>183</v>
      </c>
      <c r="C122" s="262" t="s">
        <v>1074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260" t="s">
        <v>103</v>
      </c>
      <c r="B123" s="261" t="s">
        <v>194</v>
      </c>
      <c r="C123" s="262" t="s">
        <v>1074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260" t="s">
        <v>983</v>
      </c>
      <c r="B124" s="261" t="s">
        <v>981</v>
      </c>
      <c r="C124" s="262" t="s">
        <v>1074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2" s="149" customFormat="1" x14ac:dyDescent="0.25">
      <c r="A125" s="260" t="s">
        <v>980</v>
      </c>
      <c r="B125" s="261" t="s">
        <v>196</v>
      </c>
      <c r="C125" s="262" t="s">
        <v>1074</v>
      </c>
      <c r="D125" s="263"/>
      <c r="E125" s="264"/>
      <c r="F125" s="583"/>
      <c r="G125" s="264"/>
      <c r="H125" s="263">
        <v>50.49</v>
      </c>
      <c r="I125" s="264">
        <v>2</v>
      </c>
      <c r="J125" s="262"/>
      <c r="K125" s="262"/>
      <c r="L125" s="262"/>
    </row>
    <row r="126" spans="1:12" s="149" customFormat="1" x14ac:dyDescent="0.25">
      <c r="A126" s="260" t="s">
        <v>1076</v>
      </c>
      <c r="B126" s="261" t="s">
        <v>166</v>
      </c>
      <c r="C126" s="262" t="s">
        <v>1074</v>
      </c>
      <c r="D126" s="263"/>
      <c r="E126" s="264"/>
      <c r="F126" s="583"/>
      <c r="G126" s="264"/>
      <c r="H126" s="263">
        <v>42.74</v>
      </c>
      <c r="I126" s="264">
        <v>37</v>
      </c>
      <c r="J126" s="262"/>
      <c r="K126" s="262"/>
      <c r="L126" s="262"/>
    </row>
    <row r="127" spans="1:12" s="149" customFormat="1" x14ac:dyDescent="0.25">
      <c r="A127" s="260" t="s">
        <v>1077</v>
      </c>
      <c r="B127" s="261" t="s">
        <v>193</v>
      </c>
      <c r="C127" s="262" t="s">
        <v>1074</v>
      </c>
      <c r="D127" s="263"/>
      <c r="E127" s="264"/>
      <c r="F127" s="583"/>
      <c r="G127" s="264"/>
      <c r="H127" s="263">
        <v>33.659999999999997</v>
      </c>
      <c r="I127" s="264">
        <v>13</v>
      </c>
      <c r="J127" s="262"/>
      <c r="K127" s="262"/>
      <c r="L127" s="262"/>
    </row>
    <row r="128" spans="1:12" s="149" customFormat="1" x14ac:dyDescent="0.25">
      <c r="A128" s="260" t="s">
        <v>1075</v>
      </c>
      <c r="B128" s="261" t="s">
        <v>192</v>
      </c>
      <c r="C128" s="262" t="s">
        <v>1074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12" s="149" customFormat="1" x14ac:dyDescent="0.25">
      <c r="A129" s="260" t="s">
        <v>1066</v>
      </c>
      <c r="B129" s="261" t="s">
        <v>139</v>
      </c>
      <c r="C129" s="262" t="s">
        <v>1087</v>
      </c>
      <c r="D129" s="263"/>
      <c r="E129" s="264"/>
      <c r="F129" s="583"/>
      <c r="G129" s="264"/>
      <c r="H129" s="263">
        <v>39</v>
      </c>
      <c r="I129" s="264">
        <v>30</v>
      </c>
      <c r="J129" s="262"/>
      <c r="K129" s="262"/>
      <c r="L129" s="262"/>
    </row>
    <row r="130" spans="1:12" s="149" customFormat="1" x14ac:dyDescent="0.25">
      <c r="A130" s="260" t="s">
        <v>64</v>
      </c>
      <c r="B130" s="261" t="s">
        <v>191</v>
      </c>
      <c r="C130" s="266" t="s">
        <v>1079</v>
      </c>
      <c r="D130" s="263"/>
      <c r="E130" s="264"/>
      <c r="F130" s="583"/>
      <c r="G130" s="264"/>
      <c r="H130" s="263">
        <v>47.01</v>
      </c>
      <c r="I130" s="264">
        <v>45</v>
      </c>
      <c r="J130" s="262"/>
      <c r="K130" s="262"/>
      <c r="L130" s="262"/>
    </row>
    <row r="131" spans="1:12" s="149" customFormat="1" x14ac:dyDescent="0.25">
      <c r="A131" s="260" t="s">
        <v>1093</v>
      </c>
      <c r="B131" s="261" t="s">
        <v>131</v>
      </c>
      <c r="C131" s="262" t="s">
        <v>1087</v>
      </c>
      <c r="D131" s="263"/>
      <c r="E131" s="264"/>
      <c r="F131" s="583"/>
      <c r="G131" s="264"/>
      <c r="H131" s="263">
        <v>33.659999999999997</v>
      </c>
      <c r="I131" s="264">
        <v>0</v>
      </c>
      <c r="J131" s="262"/>
      <c r="K131" s="262"/>
      <c r="L131" s="262"/>
    </row>
    <row r="132" spans="1:12" s="149" customFormat="1" x14ac:dyDescent="0.25">
      <c r="A132" s="260" t="s">
        <v>1092</v>
      </c>
      <c r="B132" s="261" t="s">
        <v>133</v>
      </c>
      <c r="C132" s="262" t="s">
        <v>1087</v>
      </c>
      <c r="D132" s="263"/>
      <c r="E132" s="264"/>
      <c r="F132" s="583"/>
      <c r="G132" s="264"/>
      <c r="H132" s="263">
        <v>45.41</v>
      </c>
      <c r="I132" s="264">
        <v>42</v>
      </c>
      <c r="J132" s="262"/>
      <c r="K132" s="262"/>
      <c r="L132" s="262"/>
    </row>
    <row r="133" spans="1:12" s="149" customFormat="1" x14ac:dyDescent="0.25">
      <c r="A133" s="346" t="s">
        <v>309</v>
      </c>
      <c r="B133" s="261" t="s">
        <v>135</v>
      </c>
      <c r="C133" s="262" t="s">
        <v>1087</v>
      </c>
      <c r="D133" s="263"/>
      <c r="E133" s="264"/>
      <c r="F133" s="583"/>
      <c r="G133" s="264"/>
      <c r="H133" s="263">
        <v>1061.6099999999999</v>
      </c>
      <c r="I133" s="264">
        <v>1422</v>
      </c>
      <c r="J133" s="262"/>
      <c r="K133" s="262"/>
      <c r="L133" s="262"/>
    </row>
    <row r="134" spans="1:12" s="149" customFormat="1" x14ac:dyDescent="0.25">
      <c r="A134" s="346" t="s">
        <v>1091</v>
      </c>
      <c r="B134" s="261" t="s">
        <v>138</v>
      </c>
      <c r="C134" s="262" t="s">
        <v>1087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260" t="s">
        <v>1090</v>
      </c>
      <c r="B135" s="261" t="s">
        <v>141</v>
      </c>
      <c r="C135" s="262" t="s">
        <v>1087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260" t="s">
        <v>1089</v>
      </c>
      <c r="B136" s="261" t="s">
        <v>143</v>
      </c>
      <c r="C136" s="266" t="s">
        <v>1087</v>
      </c>
      <c r="D136" s="263"/>
      <c r="E136" s="264"/>
      <c r="F136" s="583"/>
      <c r="G136" s="264"/>
      <c r="H136" s="263">
        <v>117.92</v>
      </c>
      <c r="I136" s="264">
        <v>164</v>
      </c>
      <c r="J136" s="262"/>
      <c r="K136" s="262"/>
      <c r="L136" s="262"/>
    </row>
    <row r="137" spans="1:12" s="149" customFormat="1" x14ac:dyDescent="0.25">
      <c r="A137" s="260" t="s">
        <v>1088</v>
      </c>
      <c r="B137" s="261" t="s">
        <v>145</v>
      </c>
      <c r="C137" s="262" t="s">
        <v>1087</v>
      </c>
      <c r="D137" s="263"/>
      <c r="E137" s="264"/>
      <c r="F137" s="583"/>
      <c r="G137" s="264"/>
      <c r="H137" s="263">
        <v>135.44</v>
      </c>
      <c r="I137" s="264">
        <v>191</v>
      </c>
      <c r="J137" s="262"/>
      <c r="K137" s="262"/>
      <c r="L137" s="262"/>
    </row>
    <row r="138" spans="1:12" s="149" customFormat="1" x14ac:dyDescent="0.25">
      <c r="A138" s="260" t="s">
        <v>1086</v>
      </c>
      <c r="B138" s="261" t="s">
        <v>147</v>
      </c>
      <c r="C138" s="262" t="s">
        <v>1087</v>
      </c>
      <c r="D138" s="263"/>
      <c r="E138" s="264"/>
      <c r="F138" s="583"/>
      <c r="G138" s="264"/>
      <c r="H138" s="263">
        <v>95.2</v>
      </c>
      <c r="I138" s="264">
        <v>129</v>
      </c>
      <c r="J138" s="262"/>
      <c r="K138" s="262"/>
      <c r="L138" s="262"/>
    </row>
    <row r="139" spans="1:12" s="149" customFormat="1" x14ac:dyDescent="0.25">
      <c r="A139" s="260" t="s">
        <v>176</v>
      </c>
      <c r="B139" s="661" t="s">
        <v>165</v>
      </c>
      <c r="C139" s="262" t="s">
        <v>1065</v>
      </c>
      <c r="D139" s="263"/>
      <c r="E139" s="264"/>
      <c r="F139" s="583"/>
      <c r="G139" s="264"/>
      <c r="H139" s="263">
        <v>155.56</v>
      </c>
      <c r="I139" s="264">
        <v>222</v>
      </c>
      <c r="J139" s="262"/>
      <c r="K139" s="262"/>
      <c r="L139" s="262"/>
    </row>
    <row r="140" spans="1:12" s="371" customFormat="1" x14ac:dyDescent="0.25">
      <c r="A140" s="655" t="s">
        <v>433</v>
      </c>
      <c r="B140" s="366"/>
      <c r="C140" s="367"/>
      <c r="D140" s="368"/>
      <c r="E140" s="369"/>
      <c r="F140" s="654"/>
      <c r="G140" s="369"/>
      <c r="H140" s="368"/>
      <c r="I140" s="369"/>
      <c r="J140" s="367"/>
      <c r="K140" s="367"/>
      <c r="L140" s="367"/>
    </row>
    <row r="141" spans="1:12" s="149" customFormat="1" x14ac:dyDescent="0.25">
      <c r="A141" s="260" t="s">
        <v>107</v>
      </c>
      <c r="B141" s="261">
        <v>67</v>
      </c>
      <c r="C141" s="266" t="s">
        <v>1107</v>
      </c>
      <c r="D141" s="263"/>
      <c r="E141" s="264"/>
      <c r="F141" s="583"/>
      <c r="G141" s="264"/>
      <c r="H141" s="263">
        <v>50</v>
      </c>
      <c r="I141" s="264">
        <v>0</v>
      </c>
      <c r="J141" s="262"/>
      <c r="K141" s="262"/>
      <c r="L141" s="262"/>
    </row>
    <row r="142" spans="1:12" s="149" customFormat="1" x14ac:dyDescent="0.25">
      <c r="A142" s="260" t="s">
        <v>109</v>
      </c>
      <c r="B142" s="670">
        <v>95</v>
      </c>
      <c r="C142" s="262" t="s">
        <v>1107</v>
      </c>
      <c r="D142" s="263"/>
      <c r="E142" s="264"/>
      <c r="F142" s="583"/>
      <c r="G142" s="264"/>
      <c r="H142" s="263">
        <v>60</v>
      </c>
      <c r="I142" s="264">
        <v>110</v>
      </c>
      <c r="J142" s="262"/>
      <c r="K142" s="262"/>
      <c r="L142" s="262"/>
    </row>
    <row r="143" spans="1:12" s="371" customFormat="1" x14ac:dyDescent="0.25">
      <c r="A143" s="653" t="s">
        <v>432</v>
      </c>
      <c r="B143" s="660"/>
      <c r="C143" s="367"/>
      <c r="D143" s="368"/>
      <c r="E143" s="369"/>
      <c r="F143" s="654"/>
      <c r="G143" s="369"/>
      <c r="H143" s="368"/>
      <c r="I143" s="369"/>
      <c r="J143" s="367"/>
      <c r="K143" s="367"/>
      <c r="L143" s="367"/>
    </row>
    <row r="144" spans="1:12" s="149" customFormat="1" x14ac:dyDescent="0.25">
      <c r="A144" s="260" t="s">
        <v>383</v>
      </c>
      <c r="B144" s="661">
        <v>61</v>
      </c>
      <c r="C144" s="266">
        <v>43110</v>
      </c>
      <c r="D144" s="263"/>
      <c r="E144" s="264"/>
      <c r="F144" s="583"/>
      <c r="G144" s="264"/>
      <c r="H144" s="263">
        <v>35.18</v>
      </c>
      <c r="I144" s="264">
        <v>0</v>
      </c>
      <c r="J144" s="262"/>
      <c r="K144" s="262"/>
      <c r="L144" s="262"/>
    </row>
    <row r="145" spans="1:12" s="371" customFormat="1" x14ac:dyDescent="0.25">
      <c r="A145" s="655" t="s">
        <v>431</v>
      </c>
      <c r="B145" s="366"/>
      <c r="C145" s="367"/>
      <c r="D145" s="368"/>
      <c r="E145" s="369"/>
      <c r="F145" s="654"/>
      <c r="G145" s="369"/>
      <c r="H145" s="368"/>
      <c r="I145" s="369"/>
      <c r="J145" s="367"/>
      <c r="K145" s="367"/>
      <c r="L145" s="367"/>
    </row>
    <row r="146" spans="1:12" s="149" customFormat="1" ht="26.25" x14ac:dyDescent="0.25">
      <c r="A146" s="260" t="s">
        <v>40</v>
      </c>
      <c r="B146" s="661">
        <v>95</v>
      </c>
      <c r="C146" s="266" t="s">
        <v>1073</v>
      </c>
      <c r="D146" s="263"/>
      <c r="E146" s="264"/>
      <c r="F146" s="583"/>
      <c r="G146" s="264"/>
      <c r="H146" s="263">
        <v>20</v>
      </c>
      <c r="I146" s="264">
        <v>300</v>
      </c>
      <c r="J146" s="262"/>
      <c r="K146" s="262"/>
      <c r="L146" s="262"/>
    </row>
    <row r="147" spans="1:12" s="371" customFormat="1" ht="26.25" x14ac:dyDescent="0.25">
      <c r="A147" s="655" t="s">
        <v>430</v>
      </c>
      <c r="B147" s="366"/>
      <c r="C147" s="656"/>
      <c r="D147" s="368"/>
      <c r="E147" s="369"/>
      <c r="F147" s="654"/>
      <c r="G147" s="369"/>
      <c r="H147" s="368"/>
      <c r="I147" s="369"/>
      <c r="J147" s="367"/>
      <c r="K147" s="367"/>
      <c r="L147" s="367"/>
    </row>
    <row r="148" spans="1:12" s="149" customFormat="1" x14ac:dyDescent="0.25">
      <c r="A148" s="260" t="s">
        <v>355</v>
      </c>
      <c r="B148" s="262" t="s">
        <v>356</v>
      </c>
      <c r="C148" s="266" t="s">
        <v>1098</v>
      </c>
      <c r="D148" s="263"/>
      <c r="E148" s="264"/>
      <c r="F148" s="583"/>
      <c r="G148" s="264"/>
      <c r="H148" s="263">
        <v>29.5</v>
      </c>
      <c r="I148" s="264">
        <v>44990</v>
      </c>
      <c r="J148" s="262"/>
      <c r="K148" s="262"/>
      <c r="L148" s="262"/>
    </row>
    <row r="149" spans="1:12" s="184" customFormat="1" ht="46.5" customHeigh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1096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64"/>
      <c r="B4" s="665"/>
      <c r="C4" s="665"/>
      <c r="D4" s="665"/>
      <c r="E4" s="665"/>
      <c r="F4" s="665"/>
      <c r="G4" s="66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197017.34</v>
      </c>
      <c r="D13" s="34"/>
      <c r="E13" s="35" t="s">
        <v>33</v>
      </c>
      <c r="F13" s="34"/>
      <c r="G13" s="42">
        <v>18841.13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3564</v>
      </c>
      <c r="D15" s="34"/>
      <c r="E15" s="35" t="s">
        <v>10</v>
      </c>
      <c r="F15" s="34"/>
      <c r="G15" s="42">
        <v>3177.2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5658</v>
      </c>
      <c r="D17" s="34"/>
      <c r="E17" s="35" t="s">
        <v>278</v>
      </c>
      <c r="F17" s="34"/>
      <c r="G17" s="42">
        <v>4408.34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206"/>
  <sheetViews>
    <sheetView zoomScaleNormal="100" workbookViewId="0">
      <pane ySplit="2" topLeftCell="A33" activePane="bottomLeft" state="frozen"/>
      <selection pane="bottomLeft" activeCell="A8" sqref="A8"/>
    </sheetView>
  </sheetViews>
  <sheetFormatPr defaultRowHeight="15" x14ac:dyDescent="0.25"/>
  <cols>
    <col min="1" max="1" width="41.28515625" style="293" customWidth="1"/>
    <col min="2" max="2" width="13.42578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1.425781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1045</v>
      </c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1055</v>
      </c>
      <c r="D3" s="257"/>
      <c r="E3" s="258"/>
      <c r="F3" s="586">
        <v>997.83</v>
      </c>
      <c r="G3" s="258">
        <v>1394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1052</v>
      </c>
      <c r="D4" s="263"/>
      <c r="E4" s="264"/>
      <c r="F4" s="583">
        <v>146.58000000000001</v>
      </c>
      <c r="G4" s="264">
        <v>144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1053</v>
      </c>
      <c r="D5" s="257"/>
      <c r="E5" s="258"/>
      <c r="F5" s="586">
        <v>128.08000000000001</v>
      </c>
      <c r="G5" s="258">
        <v>118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1058</v>
      </c>
      <c r="D6" s="263"/>
      <c r="E6" s="264"/>
      <c r="F6" s="583">
        <v>283.29000000000002</v>
      </c>
      <c r="G6" s="264">
        <v>340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1051</v>
      </c>
      <c r="D7" s="263"/>
      <c r="E7" s="264"/>
      <c r="F7" s="583">
        <v>100.95</v>
      </c>
      <c r="G7" s="264">
        <v>67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1051</v>
      </c>
      <c r="D8" s="263"/>
      <c r="E8" s="264"/>
      <c r="F8" s="583">
        <v>61.21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1054</v>
      </c>
      <c r="D9" s="263"/>
      <c r="E9" s="264"/>
      <c r="F9" s="583">
        <v>260.06</v>
      </c>
      <c r="G9" s="264">
        <v>307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1054</v>
      </c>
      <c r="D10" s="263"/>
      <c r="E10" s="264"/>
      <c r="F10" s="583">
        <v>212.97</v>
      </c>
      <c r="G10" s="264">
        <v>239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/>
      <c r="D11" s="263"/>
      <c r="E11" s="264"/>
      <c r="F11" s="583">
        <v>59.99</v>
      </c>
      <c r="G11" s="264">
        <v>2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1052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1058</v>
      </c>
      <c r="D13" s="263"/>
      <c r="E13" s="264"/>
      <c r="F13" s="583">
        <v>350.1</v>
      </c>
      <c r="G13" s="264">
        <v>437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1058</v>
      </c>
      <c r="D14" s="263"/>
      <c r="E14" s="264"/>
      <c r="F14" s="583">
        <v>71.010000000000005</v>
      </c>
      <c r="G14" s="264">
        <v>34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1052</v>
      </c>
      <c r="D15" s="263"/>
      <c r="E15" s="264"/>
      <c r="F15" s="583">
        <v>331.16</v>
      </c>
      <c r="G15" s="264">
        <v>410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1060</v>
      </c>
      <c r="D16" s="263"/>
      <c r="E16" s="264"/>
      <c r="F16" s="583">
        <v>55.18</v>
      </c>
      <c r="G16" s="264">
        <v>36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1060</v>
      </c>
      <c r="D17" s="263"/>
      <c r="E17" s="264"/>
      <c r="F17" s="583">
        <v>71.36</v>
      </c>
      <c r="G17" s="264">
        <v>33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1044</v>
      </c>
      <c r="D19" s="572">
        <v>26.54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1044</v>
      </c>
      <c r="D20" s="572">
        <v>185.39</v>
      </c>
      <c r="E20" s="564">
        <v>640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1044</v>
      </c>
      <c r="D21" s="572">
        <v>691.28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1062</v>
      </c>
      <c r="D22" s="572">
        <v>72.36</v>
      </c>
      <c r="E22" s="564">
        <v>90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1044</v>
      </c>
      <c r="D23" s="572">
        <v>30.67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1060</v>
      </c>
      <c r="D24" s="572">
        <v>93.94</v>
      </c>
      <c r="E24" s="564">
        <v>1217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1060</v>
      </c>
      <c r="D25" s="572">
        <v>4536.07</v>
      </c>
      <c r="E25" s="564">
        <v>81000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1044</v>
      </c>
      <c r="D26" s="572">
        <v>236.65</v>
      </c>
      <c r="E26" s="564">
        <v>2145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1060</v>
      </c>
      <c r="D27" s="572">
        <v>63.5</v>
      </c>
      <c r="E27" s="564">
        <v>300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1064</v>
      </c>
      <c r="D28" s="572">
        <v>276.99</v>
      </c>
      <c r="E28" s="564">
        <v>560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1050</v>
      </c>
      <c r="D29" s="572">
        <v>585.41</v>
      </c>
      <c r="E29" s="564">
        <v>5560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1064</v>
      </c>
      <c r="D30" s="572">
        <v>671.57</v>
      </c>
      <c r="E30" s="564">
        <v>9990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1044</v>
      </c>
      <c r="D31" s="572">
        <v>989.01</v>
      </c>
      <c r="E31" s="564">
        <v>12060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1044</v>
      </c>
      <c r="D32" s="572">
        <v>14.66</v>
      </c>
      <c r="E32" s="564">
        <v>8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1044</v>
      </c>
      <c r="D33" s="572">
        <v>21.15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1059</v>
      </c>
      <c r="D34" s="572">
        <v>21.37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1050</v>
      </c>
      <c r="D35" s="572">
        <v>152.66</v>
      </c>
      <c r="E35" s="564">
        <v>171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1049</v>
      </c>
      <c r="D36" s="572">
        <v>22.64</v>
      </c>
      <c r="E36" s="564">
        <v>136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1060</v>
      </c>
      <c r="D37" s="572">
        <v>428.29</v>
      </c>
      <c r="E37" s="564">
        <v>3750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1064</v>
      </c>
      <c r="D38" s="572">
        <v>129.62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1050</v>
      </c>
      <c r="D39" s="572">
        <v>21.93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1059</v>
      </c>
      <c r="D40" s="572">
        <v>101.46</v>
      </c>
      <c r="E40" s="564">
        <v>1346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1062</v>
      </c>
      <c r="D41" s="572">
        <v>16.95</v>
      </c>
      <c r="E41" s="564">
        <v>57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1044</v>
      </c>
      <c r="D42" s="572">
        <v>15.27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1044</v>
      </c>
      <c r="D43" s="572">
        <v>18.309999999999999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1060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1050</v>
      </c>
      <c r="D45" s="572">
        <v>182.73</v>
      </c>
      <c r="E45" s="564">
        <v>683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1044</v>
      </c>
      <c r="D46" s="572">
        <v>318.64999999999998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1044</v>
      </c>
      <c r="D47" s="572">
        <v>235.84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1044</v>
      </c>
      <c r="D48" s="572">
        <v>1053.99</v>
      </c>
      <c r="E48" s="564">
        <v>12540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1062</v>
      </c>
      <c r="D49" s="572">
        <v>13.22</v>
      </c>
      <c r="E49" s="564">
        <v>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1064</v>
      </c>
      <c r="D50" s="572">
        <v>26.77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1059</v>
      </c>
      <c r="D51" s="572">
        <v>68.489999999999995</v>
      </c>
      <c r="E51" s="564">
        <v>736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1049</v>
      </c>
      <c r="D52" s="572">
        <v>54.72</v>
      </c>
      <c r="E52" s="564">
        <v>657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1044</v>
      </c>
      <c r="D53" s="572">
        <v>21.15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845</v>
      </c>
      <c r="B54" s="563">
        <v>5216006477</v>
      </c>
      <c r="C54" s="563" t="s">
        <v>1064</v>
      </c>
      <c r="D54" s="572">
        <v>47.41</v>
      </c>
      <c r="E54" s="564">
        <v>56</v>
      </c>
      <c r="F54" s="604"/>
      <c r="G54" s="564"/>
      <c r="H54" s="572"/>
      <c r="I54" s="564"/>
      <c r="J54" s="563"/>
      <c r="K54" s="605" t="s">
        <v>814</v>
      </c>
      <c r="L54" s="605">
        <v>5216006477</v>
      </c>
    </row>
    <row r="55" spans="1:12" s="565" customFormat="1" ht="15.75" x14ac:dyDescent="0.25">
      <c r="A55" s="563" t="s">
        <v>866</v>
      </c>
      <c r="B55" s="563">
        <v>5216006478</v>
      </c>
      <c r="C55" s="563" t="s">
        <v>1063</v>
      </c>
      <c r="D55" s="572">
        <v>72.89</v>
      </c>
      <c r="E55" s="564">
        <v>909</v>
      </c>
      <c r="F55" s="604"/>
      <c r="G55" s="564"/>
      <c r="H55" s="572"/>
      <c r="I55" s="564"/>
      <c r="J55" s="563"/>
      <c r="K55" s="605" t="s">
        <v>815</v>
      </c>
      <c r="L55" s="605">
        <v>5216006478</v>
      </c>
    </row>
    <row r="56" spans="1:12" s="565" customFormat="1" ht="15.75" x14ac:dyDescent="0.25">
      <c r="A56" s="563" t="s">
        <v>844</v>
      </c>
      <c r="B56" s="563">
        <v>5216006479</v>
      </c>
      <c r="C56" s="563" t="s">
        <v>1062</v>
      </c>
      <c r="D56" s="572">
        <v>106.08</v>
      </c>
      <c r="E56" s="564">
        <v>770</v>
      </c>
      <c r="F56" s="604"/>
      <c r="G56" s="564"/>
      <c r="H56" s="572"/>
      <c r="I56" s="564"/>
      <c r="J56" s="563"/>
      <c r="K56" s="605" t="s">
        <v>816</v>
      </c>
      <c r="L56" s="605">
        <v>5216006479</v>
      </c>
    </row>
    <row r="57" spans="1:12" s="565" customFormat="1" ht="15.75" x14ac:dyDescent="0.25">
      <c r="A57" s="563" t="s">
        <v>877</v>
      </c>
      <c r="B57" s="563">
        <v>5216006481</v>
      </c>
      <c r="C57" s="563" t="s">
        <v>1050</v>
      </c>
      <c r="D57" s="572">
        <v>595.26</v>
      </c>
      <c r="E57" s="564">
        <v>8040</v>
      </c>
      <c r="F57" s="604"/>
      <c r="G57" s="564"/>
      <c r="H57" s="572"/>
      <c r="I57" s="564"/>
      <c r="J57" s="563"/>
      <c r="K57" s="605" t="s">
        <v>818</v>
      </c>
      <c r="L57" s="605">
        <v>5216006481</v>
      </c>
    </row>
    <row r="58" spans="1:12" s="565" customFormat="1" ht="15.75" x14ac:dyDescent="0.25">
      <c r="A58" s="563" t="s">
        <v>865</v>
      </c>
      <c r="B58" s="563">
        <v>5216006482</v>
      </c>
      <c r="C58" s="563" t="s">
        <v>1064</v>
      </c>
      <c r="D58" s="572">
        <v>155.25</v>
      </c>
      <c r="E58" s="564">
        <v>1203</v>
      </c>
      <c r="F58" s="604"/>
      <c r="G58" s="564"/>
      <c r="H58" s="572"/>
      <c r="I58" s="564"/>
      <c r="J58" s="563"/>
      <c r="K58" s="605" t="s">
        <v>819</v>
      </c>
      <c r="L58" s="605">
        <v>5216006482</v>
      </c>
    </row>
    <row r="59" spans="1:12" s="565" customFormat="1" ht="15.75" x14ac:dyDescent="0.25">
      <c r="A59" s="563" t="s">
        <v>860</v>
      </c>
      <c r="B59" s="563">
        <v>5216006483</v>
      </c>
      <c r="C59" s="563" t="s">
        <v>1059</v>
      </c>
      <c r="D59" s="572">
        <v>24.69</v>
      </c>
      <c r="E59" s="564" t="s">
        <v>1061</v>
      </c>
      <c r="F59" s="604"/>
      <c r="G59" s="564"/>
      <c r="H59" s="572"/>
      <c r="I59" s="564"/>
      <c r="J59" s="563"/>
      <c r="K59" s="605" t="s">
        <v>820</v>
      </c>
      <c r="L59" s="605">
        <v>5216006483</v>
      </c>
    </row>
    <row r="60" spans="1:12" s="565" customFormat="1" ht="15.75" x14ac:dyDescent="0.25">
      <c r="A60" s="563" t="s">
        <v>864</v>
      </c>
      <c r="B60" s="563">
        <v>5216006484</v>
      </c>
      <c r="C60" s="563" t="s">
        <v>1049</v>
      </c>
      <c r="D60" s="572">
        <v>124.87</v>
      </c>
      <c r="E60" s="564">
        <v>1797</v>
      </c>
      <c r="F60" s="604"/>
      <c r="G60" s="564"/>
      <c r="H60" s="572"/>
      <c r="I60" s="564"/>
      <c r="J60" s="563"/>
      <c r="K60" s="605" t="s">
        <v>821</v>
      </c>
      <c r="L60" s="605">
        <v>5216006484</v>
      </c>
    </row>
    <row r="61" spans="1:12" s="565" customFormat="1" ht="15.75" x14ac:dyDescent="0.25">
      <c r="A61" s="563" t="s">
        <v>861</v>
      </c>
      <c r="B61" s="563">
        <v>5216006485</v>
      </c>
      <c r="C61" s="563" t="s">
        <v>1044</v>
      </c>
      <c r="D61" s="572">
        <v>933.07</v>
      </c>
      <c r="E61" s="564">
        <v>3734</v>
      </c>
      <c r="F61" s="604"/>
      <c r="G61" s="564"/>
      <c r="H61" s="572"/>
      <c r="I61" s="564"/>
      <c r="J61" s="563"/>
      <c r="K61" s="605" t="s">
        <v>822</v>
      </c>
      <c r="L61" s="605">
        <v>5216006485</v>
      </c>
    </row>
    <row r="62" spans="1:12" s="565" customFormat="1" ht="15.75" x14ac:dyDescent="0.25">
      <c r="A62" s="563" t="s">
        <v>935</v>
      </c>
      <c r="B62" s="563">
        <v>5216006486</v>
      </c>
      <c r="C62" s="563" t="s">
        <v>1044</v>
      </c>
      <c r="D62" s="572">
        <v>24.24</v>
      </c>
      <c r="E62" s="564">
        <v>140</v>
      </c>
      <c r="F62" s="604"/>
      <c r="G62" s="564"/>
      <c r="H62" s="572"/>
      <c r="I62" s="564"/>
      <c r="J62" s="563"/>
      <c r="K62" s="605" t="s">
        <v>823</v>
      </c>
      <c r="L62" s="605">
        <v>5216006486</v>
      </c>
    </row>
    <row r="63" spans="1:12" s="565" customFormat="1" ht="15.75" x14ac:dyDescent="0.25">
      <c r="A63" s="563" t="s">
        <v>910</v>
      </c>
      <c r="B63" s="563">
        <v>5216007171</v>
      </c>
      <c r="C63" s="563" t="s">
        <v>1062</v>
      </c>
      <c r="D63" s="572">
        <v>38.61</v>
      </c>
      <c r="E63" s="564">
        <v>0</v>
      </c>
      <c r="F63" s="604"/>
      <c r="G63" s="564"/>
      <c r="H63" s="572"/>
      <c r="I63" s="564"/>
      <c r="J63" s="563"/>
      <c r="K63" s="605"/>
      <c r="L63" s="605"/>
    </row>
    <row r="64" spans="1:12" s="565" customFormat="1" ht="15.75" x14ac:dyDescent="0.25">
      <c r="A64" s="563" t="s">
        <v>862</v>
      </c>
      <c r="B64" s="563">
        <v>5216006487</v>
      </c>
      <c r="C64" s="563" t="s">
        <v>1044</v>
      </c>
      <c r="D64" s="572">
        <v>999.34</v>
      </c>
      <c r="E64" s="564">
        <v>9600</v>
      </c>
      <c r="F64" s="604"/>
      <c r="G64" s="564"/>
      <c r="H64" s="572"/>
      <c r="I64" s="564"/>
      <c r="J64" s="563"/>
      <c r="K64" s="605" t="s">
        <v>824</v>
      </c>
      <c r="L64" s="605">
        <v>5216006487</v>
      </c>
    </row>
    <row r="65" spans="1:12" s="565" customFormat="1" ht="15.75" x14ac:dyDescent="0.25">
      <c r="A65" s="563" t="s">
        <v>843</v>
      </c>
      <c r="B65" s="563">
        <v>5216006488</v>
      </c>
      <c r="C65" s="609" t="s">
        <v>1060</v>
      </c>
      <c r="D65" s="572">
        <v>68.47</v>
      </c>
      <c r="E65" s="564">
        <v>843</v>
      </c>
      <c r="F65" s="604"/>
      <c r="G65" s="564"/>
      <c r="H65" s="572"/>
      <c r="I65" s="564"/>
      <c r="J65" s="563"/>
      <c r="K65" s="605" t="s">
        <v>825</v>
      </c>
      <c r="L65" s="605">
        <v>5216006488</v>
      </c>
    </row>
    <row r="66" spans="1:12" s="565" customFormat="1" ht="15.75" x14ac:dyDescent="0.25">
      <c r="A66" s="563" t="s">
        <v>842</v>
      </c>
      <c r="B66" s="563">
        <v>5216006489</v>
      </c>
      <c r="C66" s="563" t="s">
        <v>1060</v>
      </c>
      <c r="D66" s="572">
        <v>65.19</v>
      </c>
      <c r="E66" s="564">
        <v>793</v>
      </c>
      <c r="F66" s="604"/>
      <c r="G66" s="564"/>
      <c r="H66" s="572"/>
      <c r="I66" s="564"/>
      <c r="J66" s="563"/>
      <c r="K66" s="605" t="s">
        <v>826</v>
      </c>
      <c r="L66" s="605">
        <v>5216006489</v>
      </c>
    </row>
    <row r="67" spans="1:12" s="199" customFormat="1" ht="26.25" x14ac:dyDescent="0.25">
      <c r="A67" s="280" t="s">
        <v>878</v>
      </c>
      <c r="B67" s="643"/>
      <c r="C67" s="249"/>
      <c r="D67" s="250"/>
      <c r="E67" s="251"/>
      <c r="F67" s="543"/>
      <c r="G67" s="251"/>
      <c r="H67" s="250"/>
      <c r="I67" s="251"/>
      <c r="J67" s="249"/>
      <c r="K67" s="253"/>
      <c r="L67" s="253"/>
    </row>
    <row r="68" spans="1:12" s="149" customFormat="1" ht="26.25" x14ac:dyDescent="0.25">
      <c r="A68" s="260" t="s">
        <v>51</v>
      </c>
      <c r="B68" s="261" t="s">
        <v>208</v>
      </c>
      <c r="C68" s="266" t="s">
        <v>1059</v>
      </c>
      <c r="D68" s="263">
        <v>186</v>
      </c>
      <c r="E68" s="264">
        <v>1609</v>
      </c>
      <c r="F68" s="583"/>
      <c r="G68" s="264"/>
      <c r="H68" s="263"/>
      <c r="I68" s="264"/>
      <c r="J68" s="262" t="s">
        <v>33</v>
      </c>
      <c r="K68" s="265"/>
      <c r="L68" s="265"/>
    </row>
    <row r="69" spans="1:12" s="149" customFormat="1" ht="26.25" x14ac:dyDescent="0.25">
      <c r="A69" s="260" t="s">
        <v>52</v>
      </c>
      <c r="B69" s="261" t="s">
        <v>209</v>
      </c>
      <c r="C69" s="266" t="s">
        <v>1059</v>
      </c>
      <c r="D69" s="263">
        <v>184</v>
      </c>
      <c r="E69" s="264">
        <v>1378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54</v>
      </c>
      <c r="B70" s="261">
        <v>7039100</v>
      </c>
      <c r="C70" s="266" t="s">
        <v>1059</v>
      </c>
      <c r="D70" s="263">
        <v>107</v>
      </c>
      <c r="E70" s="264">
        <v>579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x14ac:dyDescent="0.25">
      <c r="A71" s="260" t="s">
        <v>55</v>
      </c>
      <c r="B71" s="261" t="s">
        <v>212</v>
      </c>
      <c r="C71" s="266" t="s">
        <v>1059</v>
      </c>
      <c r="D71" s="263">
        <v>43</v>
      </c>
      <c r="E71" s="264">
        <v>128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56</v>
      </c>
      <c r="B72" s="261" t="s">
        <v>213</v>
      </c>
      <c r="C72" s="266" t="s">
        <v>1059</v>
      </c>
      <c r="D72" s="263">
        <v>38</v>
      </c>
      <c r="E72" s="264">
        <v>75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57</v>
      </c>
      <c r="B73" s="261" t="s">
        <v>214</v>
      </c>
      <c r="C73" s="266" t="s">
        <v>1059</v>
      </c>
      <c r="D73" s="263">
        <v>317</v>
      </c>
      <c r="E73" s="264">
        <v>2757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58</v>
      </c>
      <c r="B74" s="261" t="s">
        <v>215</v>
      </c>
      <c r="C74" s="266" t="s">
        <v>1059</v>
      </c>
      <c r="D74" s="263">
        <v>180</v>
      </c>
      <c r="E74" s="264">
        <v>1631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770</v>
      </c>
      <c r="B75" s="261" t="s">
        <v>216</v>
      </c>
      <c r="C75" s="266" t="s">
        <v>1059</v>
      </c>
      <c r="D75" s="263">
        <v>57</v>
      </c>
      <c r="E75" s="264">
        <v>269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60</v>
      </c>
      <c r="B76" s="261" t="s">
        <v>217</v>
      </c>
      <c r="C76" s="266" t="s">
        <v>1059</v>
      </c>
      <c r="D76" s="263">
        <v>115</v>
      </c>
      <c r="E76" s="264">
        <v>664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61</v>
      </c>
      <c r="B77" s="261" t="s">
        <v>218</v>
      </c>
      <c r="C77" s="266" t="s">
        <v>1059</v>
      </c>
      <c r="D77" s="263">
        <v>31</v>
      </c>
      <c r="E77" s="264">
        <v>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62</v>
      </c>
      <c r="B78" s="261" t="s">
        <v>219</v>
      </c>
      <c r="C78" s="266" t="s">
        <v>1059</v>
      </c>
      <c r="D78" s="263">
        <v>44</v>
      </c>
      <c r="E78" s="264">
        <v>143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771</v>
      </c>
      <c r="B79" s="261">
        <v>1402294701</v>
      </c>
      <c r="C79" s="266" t="s">
        <v>1059</v>
      </c>
      <c r="D79" s="263">
        <v>186.29</v>
      </c>
      <c r="E79" s="264">
        <v>1408</v>
      </c>
      <c r="F79" s="583"/>
      <c r="G79" s="264"/>
      <c r="H79" s="263"/>
      <c r="I79" s="264"/>
      <c r="J79" s="262"/>
      <c r="K79" s="265"/>
      <c r="L79" s="265"/>
    </row>
    <row r="80" spans="1:12" s="148" customFormat="1" x14ac:dyDescent="0.25">
      <c r="A80" s="254" t="s">
        <v>621</v>
      </c>
      <c r="B80" s="255" t="s">
        <v>201</v>
      </c>
      <c r="C80" s="256" t="s">
        <v>1059</v>
      </c>
      <c r="D80" s="257">
        <v>78</v>
      </c>
      <c r="E80" s="258">
        <v>324</v>
      </c>
      <c r="F80" s="586"/>
      <c r="G80" s="258"/>
      <c r="H80" s="257"/>
      <c r="I80" s="258"/>
      <c r="J80" s="256" t="s">
        <v>33</v>
      </c>
      <c r="K80" s="259"/>
      <c r="L80" s="259"/>
    </row>
    <row r="81" spans="1:12" s="149" customFormat="1" x14ac:dyDescent="0.25">
      <c r="A81" s="260" t="s">
        <v>768</v>
      </c>
      <c r="B81" s="261" t="s">
        <v>202</v>
      </c>
      <c r="C81" s="266" t="s">
        <v>1059</v>
      </c>
      <c r="D81" s="263">
        <v>1282</v>
      </c>
      <c r="E81" s="264">
        <v>11880</v>
      </c>
      <c r="F81" s="58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96</v>
      </c>
      <c r="B82" s="261">
        <v>7815400</v>
      </c>
      <c r="C82" s="262" t="s">
        <v>1059</v>
      </c>
      <c r="D82" s="263">
        <v>46</v>
      </c>
      <c r="E82" s="264">
        <v>75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97</v>
      </c>
      <c r="B83" s="261" t="s">
        <v>204</v>
      </c>
      <c r="C83" s="262" t="s">
        <v>1059</v>
      </c>
      <c r="D83" s="263">
        <v>57</v>
      </c>
      <c r="E83" s="264">
        <v>12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98</v>
      </c>
      <c r="B84" s="261" t="s">
        <v>205</v>
      </c>
      <c r="C84" s="266" t="s">
        <v>1059</v>
      </c>
      <c r="D84" s="263">
        <v>30</v>
      </c>
      <c r="E84" s="264">
        <v>0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769</v>
      </c>
      <c r="B85" s="261" t="s">
        <v>206</v>
      </c>
      <c r="C85" s="266" t="s">
        <v>1059</v>
      </c>
      <c r="D85" s="263">
        <v>70</v>
      </c>
      <c r="E85" s="264">
        <v>322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100</v>
      </c>
      <c r="B86" s="282">
        <v>1323346600</v>
      </c>
      <c r="C86" s="262" t="s">
        <v>1059</v>
      </c>
      <c r="D86" s="263">
        <v>260</v>
      </c>
      <c r="E86" s="264">
        <v>1200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101</v>
      </c>
      <c r="B87" s="282">
        <v>1322699400</v>
      </c>
      <c r="C87" s="262" t="s">
        <v>1059</v>
      </c>
      <c r="D87" s="263">
        <v>213</v>
      </c>
      <c r="E87" s="264">
        <v>1320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352" customFormat="1" x14ac:dyDescent="0.25">
      <c r="A88" s="346" t="s">
        <v>772</v>
      </c>
      <c r="B88" s="347" t="s">
        <v>200</v>
      </c>
      <c r="C88" s="646">
        <v>43074</v>
      </c>
      <c r="D88" s="349">
        <v>281</v>
      </c>
      <c r="E88" s="350">
        <v>5.34</v>
      </c>
      <c r="F88" s="593"/>
      <c r="G88" s="350"/>
      <c r="H88" s="349"/>
      <c r="I88" s="350"/>
      <c r="J88" s="348" t="s">
        <v>33</v>
      </c>
      <c r="K88" s="351"/>
      <c r="L88" s="351"/>
    </row>
    <row r="89" spans="1:12" s="149" customFormat="1" x14ac:dyDescent="0.25">
      <c r="A89" s="260" t="s">
        <v>110</v>
      </c>
      <c r="B89" s="261" t="s">
        <v>207</v>
      </c>
      <c r="C89" s="262" t="s">
        <v>1059</v>
      </c>
      <c r="D89" s="263">
        <v>123</v>
      </c>
      <c r="E89" s="264">
        <v>291</v>
      </c>
      <c r="F89" s="58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111</v>
      </c>
      <c r="B90" s="261" t="s">
        <v>222</v>
      </c>
      <c r="C90" s="262" t="s">
        <v>1059</v>
      </c>
      <c r="D90" s="263">
        <v>51</v>
      </c>
      <c r="E90" s="264">
        <v>3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117</v>
      </c>
      <c r="B91" s="261" t="s">
        <v>220</v>
      </c>
      <c r="C91" s="262" t="s">
        <v>1059</v>
      </c>
      <c r="D91" s="263">
        <v>94</v>
      </c>
      <c r="E91" s="264">
        <v>458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118</v>
      </c>
      <c r="B92" s="261" t="s">
        <v>221</v>
      </c>
      <c r="C92" s="266" t="s">
        <v>1059</v>
      </c>
      <c r="D92" s="263">
        <v>100</v>
      </c>
      <c r="E92" s="264">
        <v>723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84" customFormat="1" x14ac:dyDescent="0.25">
      <c r="A93" s="267" t="s">
        <v>701</v>
      </c>
      <c r="B93" s="268">
        <v>1323115001</v>
      </c>
      <c r="C93" s="289"/>
      <c r="D93" s="269"/>
      <c r="E93" s="270"/>
      <c r="F93" s="544"/>
      <c r="G93" s="270"/>
      <c r="H93" s="269"/>
      <c r="I93" s="270"/>
      <c r="J93" s="245"/>
      <c r="K93" s="246"/>
      <c r="L93" s="246"/>
    </row>
    <row r="94" spans="1:12" s="184" customFormat="1" x14ac:dyDescent="0.25">
      <c r="A94" s="267" t="s">
        <v>683</v>
      </c>
      <c r="B94" s="268">
        <v>1322673502</v>
      </c>
      <c r="C94" s="289"/>
      <c r="D94" s="269"/>
      <c r="E94" s="270"/>
      <c r="F94" s="544"/>
      <c r="G94" s="270"/>
      <c r="H94" s="269"/>
      <c r="I94" s="270"/>
      <c r="J94" s="245"/>
      <c r="K94" s="246"/>
      <c r="L94" s="246"/>
    </row>
    <row r="95" spans="1:12" s="184" customFormat="1" x14ac:dyDescent="0.25">
      <c r="A95" s="267" t="s">
        <v>702</v>
      </c>
      <c r="B95" s="268">
        <v>1322725900</v>
      </c>
      <c r="C95" s="289"/>
      <c r="D95" s="269"/>
      <c r="E95" s="270"/>
      <c r="F95" s="544"/>
      <c r="G95" s="270"/>
      <c r="H95" s="269"/>
      <c r="I95" s="270"/>
      <c r="J95" s="245"/>
      <c r="K95" s="246"/>
      <c r="L95" s="246"/>
    </row>
    <row r="96" spans="1:12" s="199" customFormat="1" x14ac:dyDescent="0.25">
      <c r="A96" s="280" t="s">
        <v>434</v>
      </c>
      <c r="B96" s="643"/>
      <c r="C96" s="249"/>
      <c r="D96" s="250"/>
      <c r="E96" s="251"/>
      <c r="F96" s="543"/>
      <c r="G96" s="251"/>
      <c r="H96" s="250"/>
      <c r="I96" s="251"/>
      <c r="J96" s="249"/>
      <c r="K96" s="253"/>
      <c r="L96" s="253"/>
    </row>
    <row r="97" spans="1:12" s="149" customFormat="1" x14ac:dyDescent="0.25">
      <c r="A97" s="260" t="s">
        <v>65</v>
      </c>
      <c r="B97" s="261" t="s">
        <v>163</v>
      </c>
      <c r="C97" s="262" t="s">
        <v>1059</v>
      </c>
      <c r="D97" s="263"/>
      <c r="E97" s="264"/>
      <c r="F97" s="583"/>
      <c r="G97" s="264"/>
      <c r="H97" s="263">
        <v>141.28</v>
      </c>
      <c r="I97" s="264">
        <v>200</v>
      </c>
      <c r="J97" s="262"/>
      <c r="K97" s="265"/>
      <c r="L97" s="265"/>
    </row>
    <row r="98" spans="1:12" s="149" customFormat="1" x14ac:dyDescent="0.25">
      <c r="A98" s="260" t="s">
        <v>37</v>
      </c>
      <c r="B98" s="261" t="s">
        <v>190</v>
      </c>
      <c r="C98" s="262" t="s">
        <v>1059</v>
      </c>
      <c r="D98" s="263"/>
      <c r="E98" s="264"/>
      <c r="F98" s="583"/>
      <c r="G98" s="264"/>
      <c r="H98" s="263">
        <v>182.21</v>
      </c>
      <c r="I98" s="264">
        <v>262</v>
      </c>
      <c r="J98" s="262"/>
      <c r="K98" s="265"/>
      <c r="L98" s="265"/>
    </row>
    <row r="99" spans="1:12" s="149" customFormat="1" x14ac:dyDescent="0.25">
      <c r="A99" s="260" t="s">
        <v>71</v>
      </c>
      <c r="B99" s="261" t="s">
        <v>188</v>
      </c>
      <c r="C99" s="262" t="s">
        <v>1059</v>
      </c>
      <c r="D99" s="263"/>
      <c r="E99" s="264"/>
      <c r="F99" s="583"/>
      <c r="G99" s="264"/>
      <c r="H99" s="263">
        <v>33.659999999999997</v>
      </c>
      <c r="I99" s="264">
        <v>8</v>
      </c>
      <c r="J99" s="262"/>
      <c r="K99" s="265"/>
      <c r="L99" s="265"/>
    </row>
    <row r="100" spans="1:12" s="149" customFormat="1" x14ac:dyDescent="0.25">
      <c r="A100" s="260" t="s">
        <v>72</v>
      </c>
      <c r="B100" s="261" t="s">
        <v>187</v>
      </c>
      <c r="C100" s="262" t="s">
        <v>1059</v>
      </c>
      <c r="D100" s="263"/>
      <c r="E100" s="264"/>
      <c r="F100" s="583"/>
      <c r="G100" s="264"/>
      <c r="H100" s="263">
        <v>33.659999999999997</v>
      </c>
      <c r="I100" s="264">
        <v>0</v>
      </c>
      <c r="J100" s="262"/>
      <c r="K100" s="265"/>
      <c r="L100" s="265"/>
    </row>
    <row r="101" spans="1:12" s="149" customFormat="1" x14ac:dyDescent="0.25">
      <c r="A101" s="260" t="s">
        <v>73</v>
      </c>
      <c r="B101" s="261" t="s">
        <v>171</v>
      </c>
      <c r="C101" s="262" t="s">
        <v>1059</v>
      </c>
      <c r="D101" s="263"/>
      <c r="E101" s="264"/>
      <c r="F101" s="583"/>
      <c r="G101" s="264"/>
      <c r="H101" s="263">
        <v>33.659999999999997</v>
      </c>
      <c r="I101" s="264">
        <v>18</v>
      </c>
      <c r="J101" s="262"/>
      <c r="K101" s="265"/>
      <c r="L101" s="265"/>
    </row>
    <row r="102" spans="1:12" s="149" customFormat="1" x14ac:dyDescent="0.25">
      <c r="A102" s="260" t="s">
        <v>74</v>
      </c>
      <c r="B102" s="261" t="s">
        <v>170</v>
      </c>
      <c r="C102" s="262" t="s">
        <v>1059</v>
      </c>
      <c r="D102" s="263"/>
      <c r="E102" s="264"/>
      <c r="F102" s="583"/>
      <c r="G102" s="264"/>
      <c r="H102" s="263">
        <v>33.659999999999997</v>
      </c>
      <c r="I102" s="264">
        <v>2</v>
      </c>
      <c r="J102" s="262"/>
      <c r="K102" s="265"/>
      <c r="L102" s="265"/>
    </row>
    <row r="103" spans="1:12" s="149" customFormat="1" x14ac:dyDescent="0.25">
      <c r="A103" s="260" t="s">
        <v>75</v>
      </c>
      <c r="B103" s="261" t="s">
        <v>189</v>
      </c>
      <c r="C103" s="262" t="s">
        <v>1059</v>
      </c>
      <c r="D103" s="263"/>
      <c r="E103" s="264"/>
      <c r="F103" s="583"/>
      <c r="G103" s="264"/>
      <c r="H103" s="263">
        <v>57.69</v>
      </c>
      <c r="I103" s="264">
        <v>65</v>
      </c>
      <c r="J103" s="262"/>
      <c r="K103" s="265"/>
      <c r="L103" s="265"/>
    </row>
    <row r="104" spans="1:12" s="149" customFormat="1" x14ac:dyDescent="0.25">
      <c r="A104" s="260" t="s">
        <v>76</v>
      </c>
      <c r="B104" s="261" t="s">
        <v>169</v>
      </c>
      <c r="C104" s="262" t="s">
        <v>1059</v>
      </c>
      <c r="D104" s="263"/>
      <c r="E104" s="264"/>
      <c r="F104" s="583"/>
      <c r="G104" s="264"/>
      <c r="H104" s="263">
        <v>33.659999999999997</v>
      </c>
      <c r="I104" s="264">
        <v>0</v>
      </c>
      <c r="J104" s="262"/>
      <c r="K104" s="265"/>
      <c r="L104" s="265"/>
    </row>
    <row r="105" spans="1:12" s="149" customFormat="1" x14ac:dyDescent="0.25">
      <c r="A105" s="260" t="s">
        <v>77</v>
      </c>
      <c r="B105" s="261" t="s">
        <v>168</v>
      </c>
      <c r="C105" s="262" t="s">
        <v>1059</v>
      </c>
      <c r="D105" s="263"/>
      <c r="E105" s="264"/>
      <c r="F105" s="583"/>
      <c r="G105" s="264"/>
      <c r="H105" s="263">
        <v>187.87</v>
      </c>
      <c r="I105" s="264">
        <v>270</v>
      </c>
      <c r="J105" s="262"/>
      <c r="K105" s="265"/>
      <c r="L105" s="265"/>
    </row>
    <row r="106" spans="1:12" s="149" customFormat="1" x14ac:dyDescent="0.25">
      <c r="A106" s="260" t="s">
        <v>78</v>
      </c>
      <c r="B106" s="261" t="s">
        <v>197</v>
      </c>
      <c r="C106" s="262" t="s">
        <v>1059</v>
      </c>
      <c r="D106" s="263"/>
      <c r="E106" s="264"/>
      <c r="F106" s="583"/>
      <c r="G106" s="264"/>
      <c r="H106" s="263">
        <v>33.659999999999997</v>
      </c>
      <c r="I106" s="264">
        <v>8</v>
      </c>
      <c r="J106" s="262"/>
      <c r="K106" s="265"/>
      <c r="L106" s="265"/>
    </row>
    <row r="107" spans="1:12" s="149" customFormat="1" x14ac:dyDescent="0.25">
      <c r="A107" s="260" t="s">
        <v>79</v>
      </c>
      <c r="B107" s="261" t="s">
        <v>167</v>
      </c>
      <c r="C107" s="266" t="s">
        <v>1059</v>
      </c>
      <c r="D107" s="263"/>
      <c r="E107" s="264"/>
      <c r="F107" s="583"/>
      <c r="G107" s="264"/>
      <c r="H107" s="263">
        <v>33.659999999999997</v>
      </c>
      <c r="I107" s="264">
        <v>0</v>
      </c>
      <c r="J107" s="262"/>
      <c r="K107" s="265"/>
      <c r="L107" s="265"/>
    </row>
    <row r="108" spans="1:12" s="149" customFormat="1" x14ac:dyDescent="0.25">
      <c r="A108" s="283" t="s">
        <v>80</v>
      </c>
      <c r="B108" s="284" t="s">
        <v>177</v>
      </c>
      <c r="C108" s="285" t="s">
        <v>1059</v>
      </c>
      <c r="D108" s="286"/>
      <c r="E108" s="287"/>
      <c r="F108" s="594"/>
      <c r="G108" s="287"/>
      <c r="H108" s="286">
        <v>33.659999999999997</v>
      </c>
      <c r="I108" s="287">
        <v>0</v>
      </c>
      <c r="J108" s="288"/>
      <c r="K108" s="265"/>
      <c r="L108" s="265"/>
    </row>
    <row r="109" spans="1:12" s="149" customFormat="1" x14ac:dyDescent="0.25">
      <c r="A109" s="260" t="s">
        <v>81</v>
      </c>
      <c r="B109" s="261" t="s">
        <v>180</v>
      </c>
      <c r="C109" s="262" t="s">
        <v>1059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60" t="s">
        <v>82</v>
      </c>
      <c r="B110" s="261" t="s">
        <v>179</v>
      </c>
      <c r="C110" s="262" t="s">
        <v>1059</v>
      </c>
      <c r="D110" s="263"/>
      <c r="E110" s="264"/>
      <c r="F110" s="583"/>
      <c r="G110" s="264"/>
      <c r="H110" s="263">
        <v>33.659999999999997</v>
      </c>
      <c r="I110" s="264">
        <v>2</v>
      </c>
      <c r="J110" s="262"/>
      <c r="K110" s="265"/>
      <c r="L110" s="265"/>
    </row>
    <row r="111" spans="1:12" s="149" customFormat="1" x14ac:dyDescent="0.25">
      <c r="A111" s="260" t="s">
        <v>83</v>
      </c>
      <c r="B111" s="261" t="s">
        <v>178</v>
      </c>
      <c r="C111" s="262" t="s">
        <v>1059</v>
      </c>
      <c r="D111" s="263"/>
      <c r="E111" s="264"/>
      <c r="F111" s="583"/>
      <c r="G111" s="264"/>
      <c r="H111" s="263">
        <v>33.659999999999997</v>
      </c>
      <c r="I111" s="264">
        <v>1</v>
      </c>
      <c r="J111" s="262"/>
      <c r="K111" s="265"/>
      <c r="L111" s="265"/>
    </row>
    <row r="112" spans="1:12" s="149" customFormat="1" x14ac:dyDescent="0.25">
      <c r="A112" s="260" t="s">
        <v>84</v>
      </c>
      <c r="B112" s="261" t="s">
        <v>175</v>
      </c>
      <c r="C112" s="262" t="s">
        <v>1060</v>
      </c>
      <c r="D112" s="263"/>
      <c r="E112" s="264"/>
      <c r="F112" s="58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60" t="s">
        <v>85</v>
      </c>
      <c r="B113" s="261" t="s">
        <v>184</v>
      </c>
      <c r="C113" s="262" t="s">
        <v>1059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5"/>
      <c r="L113" s="265"/>
    </row>
    <row r="114" spans="1:12" s="149" customFormat="1" x14ac:dyDescent="0.25">
      <c r="A114" s="260" t="s">
        <v>86</v>
      </c>
      <c r="B114" s="261" t="s">
        <v>185</v>
      </c>
      <c r="C114" s="262" t="s">
        <v>1059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87</v>
      </c>
      <c r="B115" s="261" t="s">
        <v>181</v>
      </c>
      <c r="C115" s="262" t="s">
        <v>1059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5"/>
      <c r="L115" s="265"/>
    </row>
    <row r="116" spans="1:12" s="149" customFormat="1" x14ac:dyDescent="0.25">
      <c r="A116" s="260" t="s">
        <v>88</v>
      </c>
      <c r="B116" s="261" t="s">
        <v>172</v>
      </c>
      <c r="C116" s="262" t="s">
        <v>1059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5"/>
      <c r="L116" s="265"/>
    </row>
    <row r="117" spans="1:12" s="149" customFormat="1" x14ac:dyDescent="0.25">
      <c r="A117" s="260" t="s">
        <v>89</v>
      </c>
      <c r="B117" s="261" t="s">
        <v>173</v>
      </c>
      <c r="C117" s="262" t="s">
        <v>1059</v>
      </c>
      <c r="D117" s="263"/>
      <c r="E117" s="264"/>
      <c r="F117" s="583"/>
      <c r="G117" s="264"/>
      <c r="H117" s="263">
        <v>33.659999999999997</v>
      </c>
      <c r="I117" s="264">
        <v>14</v>
      </c>
      <c r="J117" s="262"/>
      <c r="K117" s="265"/>
      <c r="L117" s="265"/>
    </row>
    <row r="118" spans="1:12" s="149" customFormat="1" x14ac:dyDescent="0.25">
      <c r="A118" s="260" t="s">
        <v>90</v>
      </c>
      <c r="B118" s="261" t="s">
        <v>174</v>
      </c>
      <c r="C118" s="262" t="s">
        <v>1059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91</v>
      </c>
      <c r="B119" s="261" t="s">
        <v>182</v>
      </c>
      <c r="C119" s="262" t="s">
        <v>1059</v>
      </c>
      <c r="D119" s="263"/>
      <c r="E119" s="264"/>
      <c r="F119" s="583"/>
      <c r="G119" s="264"/>
      <c r="H119" s="263">
        <v>33.659999999999997</v>
      </c>
      <c r="I119" s="264">
        <v>8</v>
      </c>
      <c r="J119" s="262"/>
      <c r="K119" s="265"/>
      <c r="L119" s="265"/>
    </row>
    <row r="120" spans="1:12" s="149" customFormat="1" x14ac:dyDescent="0.25">
      <c r="A120" s="260" t="s">
        <v>92</v>
      </c>
      <c r="B120" s="261" t="s">
        <v>186</v>
      </c>
      <c r="C120" s="262" t="s">
        <v>1059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93</v>
      </c>
      <c r="B121" s="261" t="s">
        <v>183</v>
      </c>
      <c r="C121" s="262" t="s">
        <v>1059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5"/>
      <c r="L121" s="265"/>
    </row>
    <row r="122" spans="1:12" s="149" customFormat="1" x14ac:dyDescent="0.25">
      <c r="A122" s="260" t="s">
        <v>103</v>
      </c>
      <c r="B122" s="261" t="s">
        <v>194</v>
      </c>
      <c r="C122" s="262" t="s">
        <v>1059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5"/>
      <c r="L122" s="265"/>
    </row>
    <row r="123" spans="1:12" s="149" customFormat="1" ht="26.25" x14ac:dyDescent="0.25">
      <c r="A123" s="260" t="s">
        <v>983</v>
      </c>
      <c r="B123" s="261" t="s">
        <v>981</v>
      </c>
      <c r="C123" s="262" t="s">
        <v>1059</v>
      </c>
      <c r="D123" s="263"/>
      <c r="E123" s="264"/>
      <c r="F123" s="583"/>
      <c r="G123" s="264"/>
      <c r="H123" s="263">
        <v>344.04</v>
      </c>
      <c r="I123" s="264">
        <v>484</v>
      </c>
      <c r="J123" s="262"/>
      <c r="K123" s="265"/>
      <c r="L123" s="265"/>
    </row>
    <row r="124" spans="1:12" s="149" customFormat="1" x14ac:dyDescent="0.25">
      <c r="A124" s="260" t="s">
        <v>105</v>
      </c>
      <c r="B124" s="261" t="s">
        <v>196</v>
      </c>
      <c r="C124" s="262" t="s">
        <v>1059</v>
      </c>
      <c r="D124" s="263"/>
      <c r="E124" s="264"/>
      <c r="F124" s="583"/>
      <c r="G124" s="264"/>
      <c r="H124" s="263">
        <v>50.49</v>
      </c>
      <c r="I124" s="264">
        <v>0</v>
      </c>
      <c r="J124" s="262"/>
      <c r="K124" s="265"/>
      <c r="L124" s="265"/>
    </row>
    <row r="125" spans="1:12" s="149" customFormat="1" x14ac:dyDescent="0.25">
      <c r="A125" s="260" t="s">
        <v>68</v>
      </c>
      <c r="B125" s="261" t="s">
        <v>166</v>
      </c>
      <c r="C125" s="262" t="s">
        <v>1059</v>
      </c>
      <c r="D125" s="263"/>
      <c r="E125" s="264"/>
      <c r="F125" s="583"/>
      <c r="G125" s="264"/>
      <c r="H125" s="263">
        <v>48.61</v>
      </c>
      <c r="I125" s="264">
        <v>48</v>
      </c>
      <c r="J125" s="262"/>
      <c r="K125" s="265"/>
      <c r="L125" s="265"/>
    </row>
    <row r="126" spans="1:12" s="149" customFormat="1" x14ac:dyDescent="0.25">
      <c r="A126" s="260" t="s">
        <v>46</v>
      </c>
      <c r="B126" s="261" t="s">
        <v>193</v>
      </c>
      <c r="C126" s="262" t="s">
        <v>1059</v>
      </c>
      <c r="D126" s="263"/>
      <c r="E126" s="264"/>
      <c r="F126" s="583"/>
      <c r="G126" s="264"/>
      <c r="H126" s="263">
        <v>33.659999999999997</v>
      </c>
      <c r="I126" s="264">
        <v>13</v>
      </c>
      <c r="J126" s="262"/>
      <c r="K126" s="265"/>
      <c r="L126" s="265"/>
    </row>
    <row r="127" spans="1:12" s="149" customFormat="1" x14ac:dyDescent="0.25">
      <c r="A127" s="260" t="s">
        <v>17</v>
      </c>
      <c r="B127" s="261" t="s">
        <v>192</v>
      </c>
      <c r="C127" s="262" t="s">
        <v>1059</v>
      </c>
      <c r="D127" s="263"/>
      <c r="E127" s="264"/>
      <c r="F127" s="583"/>
      <c r="G127" s="264"/>
      <c r="H127" s="263">
        <v>33.659999999999997</v>
      </c>
      <c r="I127" s="264">
        <v>0</v>
      </c>
      <c r="J127" s="262"/>
      <c r="K127" s="265"/>
      <c r="L127" s="265"/>
    </row>
    <row r="128" spans="1:12" s="149" customFormat="1" x14ac:dyDescent="0.25">
      <c r="A128" s="260" t="s">
        <v>47</v>
      </c>
      <c r="B128" s="261" t="s">
        <v>139</v>
      </c>
      <c r="C128" s="262" t="s">
        <v>1067</v>
      </c>
      <c r="D128" s="263"/>
      <c r="E128" s="264"/>
      <c r="F128" s="583"/>
      <c r="G128" s="264"/>
      <c r="H128" s="263">
        <v>61.38</v>
      </c>
      <c r="I128" s="264">
        <v>29</v>
      </c>
      <c r="J128" s="262"/>
      <c r="K128" s="265"/>
      <c r="L128" s="265"/>
    </row>
    <row r="129" spans="1:12" s="149" customFormat="1" x14ac:dyDescent="0.25">
      <c r="A129" s="260" t="s">
        <v>64</v>
      </c>
      <c r="B129" s="261" t="s">
        <v>191</v>
      </c>
      <c r="C129" s="262" t="s">
        <v>1059</v>
      </c>
      <c r="D129" s="263"/>
      <c r="E129" s="264"/>
      <c r="F129" s="583"/>
      <c r="G129" s="264"/>
      <c r="H129" s="263">
        <v>114.02</v>
      </c>
      <c r="I129" s="264">
        <v>158</v>
      </c>
      <c r="J129" s="262"/>
      <c r="K129" s="265"/>
      <c r="L129" s="265"/>
    </row>
    <row r="130" spans="1:12" s="149" customFormat="1" x14ac:dyDescent="0.25">
      <c r="A130" s="260" t="s">
        <v>130</v>
      </c>
      <c r="B130" s="261" t="s">
        <v>131</v>
      </c>
      <c r="C130" s="262" t="s">
        <v>1068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5"/>
      <c r="L130" s="265"/>
    </row>
    <row r="131" spans="1:12" s="149" customFormat="1" x14ac:dyDescent="0.25">
      <c r="A131" s="260" t="s">
        <v>134</v>
      </c>
      <c r="B131" s="261" t="s">
        <v>133</v>
      </c>
      <c r="C131" s="262" t="s">
        <v>1068</v>
      </c>
      <c r="D131" s="263"/>
      <c r="E131" s="264"/>
      <c r="F131" s="583"/>
      <c r="G131" s="264"/>
      <c r="H131" s="263">
        <v>35.26</v>
      </c>
      <c r="I131" s="264">
        <v>23</v>
      </c>
      <c r="J131" s="262"/>
      <c r="K131" s="265"/>
      <c r="L131" s="265"/>
    </row>
    <row r="132" spans="1:12" s="149" customFormat="1" x14ac:dyDescent="0.25">
      <c r="A132" s="260" t="s">
        <v>543</v>
      </c>
      <c r="B132" s="261" t="s">
        <v>135</v>
      </c>
      <c r="C132" s="262" t="s">
        <v>1068</v>
      </c>
      <c r="D132" s="263"/>
      <c r="E132" s="264"/>
      <c r="F132" s="583"/>
      <c r="G132" s="264"/>
      <c r="H132" s="263">
        <v>1343.9</v>
      </c>
      <c r="I132" s="264">
        <v>1791</v>
      </c>
      <c r="J132" s="262"/>
      <c r="K132" s="265"/>
      <c r="L132" s="265"/>
    </row>
    <row r="133" spans="1:12" s="149" customFormat="1" x14ac:dyDescent="0.25">
      <c r="A133" s="260" t="s">
        <v>137</v>
      </c>
      <c r="B133" s="261" t="s">
        <v>138</v>
      </c>
      <c r="C133" s="262" t="s">
        <v>1068</v>
      </c>
      <c r="D133" s="263"/>
      <c r="E133" s="264"/>
      <c r="F133" s="583"/>
      <c r="G133" s="264"/>
      <c r="H133" s="263">
        <v>33.659999999999997</v>
      </c>
      <c r="I133" s="264">
        <v>0</v>
      </c>
      <c r="J133" s="262"/>
      <c r="K133" s="265"/>
      <c r="L133" s="265"/>
    </row>
    <row r="134" spans="1:12" s="149" customFormat="1" x14ac:dyDescent="0.25">
      <c r="A134" s="260" t="s">
        <v>140</v>
      </c>
      <c r="B134" s="261" t="s">
        <v>141</v>
      </c>
      <c r="C134" s="266" t="s">
        <v>1068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142</v>
      </c>
      <c r="B135" s="261" t="s">
        <v>143</v>
      </c>
      <c r="C135" s="262" t="s">
        <v>1068</v>
      </c>
      <c r="D135" s="263"/>
      <c r="E135" s="264"/>
      <c r="F135" s="583"/>
      <c r="G135" s="264"/>
      <c r="H135" s="263">
        <v>33.659999999999997</v>
      </c>
      <c r="I135" s="264">
        <v>11</v>
      </c>
      <c r="J135" s="262"/>
      <c r="K135" s="265"/>
      <c r="L135" s="265"/>
    </row>
    <row r="136" spans="1:12" s="149" customFormat="1" x14ac:dyDescent="0.25">
      <c r="A136" s="260" t="s">
        <v>587</v>
      </c>
      <c r="B136" s="261" t="s">
        <v>145</v>
      </c>
      <c r="C136" s="262" t="s">
        <v>1068</v>
      </c>
      <c r="D136" s="263"/>
      <c r="E136" s="264"/>
      <c r="F136" s="583"/>
      <c r="G136" s="264"/>
      <c r="H136" s="263">
        <v>334.1</v>
      </c>
      <c r="I136" s="264">
        <v>471</v>
      </c>
      <c r="J136" s="262"/>
      <c r="K136" s="265"/>
      <c r="L136" s="265"/>
    </row>
    <row r="137" spans="1:12" s="149" customFormat="1" x14ac:dyDescent="0.25">
      <c r="A137" s="260" t="s">
        <v>588</v>
      </c>
      <c r="B137" s="261" t="s">
        <v>147</v>
      </c>
      <c r="C137" s="262" t="s">
        <v>1068</v>
      </c>
      <c r="D137" s="263"/>
      <c r="E137" s="264"/>
      <c r="F137" s="583"/>
      <c r="G137" s="264"/>
      <c r="H137" s="263">
        <v>171.13</v>
      </c>
      <c r="I137" s="264">
        <v>246</v>
      </c>
      <c r="J137" s="262"/>
      <c r="K137" s="265"/>
      <c r="L137" s="265"/>
    </row>
    <row r="138" spans="1:12" s="149" customFormat="1" x14ac:dyDescent="0.25">
      <c r="A138" s="260" t="s">
        <v>176</v>
      </c>
      <c r="B138" s="261" t="s">
        <v>165</v>
      </c>
      <c r="C138" s="262" t="s">
        <v>1043</v>
      </c>
      <c r="D138" s="263"/>
      <c r="E138" s="264"/>
      <c r="F138" s="583"/>
      <c r="G138" s="264"/>
      <c r="H138" s="263">
        <v>373.88</v>
      </c>
      <c r="I138" s="264">
        <v>523</v>
      </c>
      <c r="J138" s="262"/>
      <c r="K138" s="265"/>
      <c r="L138" s="265"/>
    </row>
    <row r="139" spans="1:12" s="199" customFormat="1" x14ac:dyDescent="0.25">
      <c r="A139" s="280" t="s">
        <v>433</v>
      </c>
      <c r="B139" s="643"/>
      <c r="C139" s="249"/>
      <c r="D139" s="250"/>
      <c r="E139" s="251"/>
      <c r="F139" s="543"/>
      <c r="G139" s="251"/>
      <c r="H139" s="250"/>
      <c r="I139" s="251"/>
      <c r="J139" s="249"/>
      <c r="K139" s="253"/>
      <c r="L139" s="253"/>
    </row>
    <row r="140" spans="1:12" s="184" customFormat="1" x14ac:dyDescent="0.25">
      <c r="A140" s="267" t="s">
        <v>107</v>
      </c>
      <c r="B140" s="268">
        <v>67</v>
      </c>
      <c r="C140" s="245"/>
      <c r="D140" s="269"/>
      <c r="E140" s="270"/>
      <c r="F140" s="544"/>
      <c r="G140" s="270"/>
      <c r="H140" s="269"/>
      <c r="I140" s="270"/>
      <c r="J140" s="245"/>
      <c r="K140" s="246"/>
      <c r="L140" s="246"/>
    </row>
    <row r="141" spans="1:12" s="184" customFormat="1" x14ac:dyDescent="0.25">
      <c r="A141" s="267" t="s">
        <v>109</v>
      </c>
      <c r="B141" s="268">
        <v>95</v>
      </c>
      <c r="C141" s="245"/>
      <c r="D141" s="269"/>
      <c r="E141" s="270"/>
      <c r="F141" s="544"/>
      <c r="G141" s="270"/>
      <c r="H141" s="269"/>
      <c r="I141" s="270"/>
      <c r="J141" s="245"/>
      <c r="K141" s="246"/>
      <c r="L141" s="246"/>
    </row>
    <row r="142" spans="1:12" s="199" customFormat="1" x14ac:dyDescent="0.25">
      <c r="A142" s="247" t="s">
        <v>432</v>
      </c>
      <c r="B142" s="644"/>
      <c r="C142" s="249"/>
      <c r="D142" s="250"/>
      <c r="E142" s="251"/>
      <c r="F142" s="543"/>
      <c r="G142" s="251"/>
      <c r="H142" s="250"/>
      <c r="I142" s="251"/>
      <c r="J142" s="249"/>
      <c r="K142" s="253"/>
      <c r="L142" s="253"/>
    </row>
    <row r="143" spans="1:12" s="184" customFormat="1" x14ac:dyDescent="0.25">
      <c r="A143" s="267" t="s">
        <v>156</v>
      </c>
      <c r="B143" s="298">
        <v>61</v>
      </c>
      <c r="C143" s="289"/>
      <c r="D143" s="269"/>
      <c r="E143" s="270"/>
      <c r="F143" s="544"/>
      <c r="G143" s="270"/>
      <c r="H143" s="269"/>
      <c r="I143" s="270"/>
      <c r="J143" s="245"/>
      <c r="K143" s="246"/>
      <c r="L143" s="246"/>
    </row>
    <row r="144" spans="1:12" s="199" customFormat="1" x14ac:dyDescent="0.25">
      <c r="A144" s="280" t="s">
        <v>431</v>
      </c>
      <c r="B144" s="643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ht="26.25" x14ac:dyDescent="0.25">
      <c r="A145" s="260" t="s">
        <v>40</v>
      </c>
      <c r="B145" s="261">
        <v>95</v>
      </c>
      <c r="C145" s="266" t="s">
        <v>1057</v>
      </c>
      <c r="D145" s="263"/>
      <c r="E145" s="264"/>
      <c r="F145" s="583"/>
      <c r="G145" s="264"/>
      <c r="H145" s="263">
        <v>20</v>
      </c>
      <c r="I145" s="264">
        <v>1000</v>
      </c>
      <c r="J145" s="262"/>
      <c r="K145" s="265"/>
      <c r="L145" s="265"/>
    </row>
    <row r="146" spans="1:12" s="199" customFormat="1" ht="26.25" x14ac:dyDescent="0.25">
      <c r="A146" s="280" t="s">
        <v>430</v>
      </c>
      <c r="B146" s="643"/>
      <c r="C146" s="303"/>
      <c r="D146" s="250"/>
      <c r="E146" s="251"/>
      <c r="F146" s="543"/>
      <c r="G146" s="251"/>
      <c r="H146" s="250"/>
      <c r="I146" s="251"/>
      <c r="J146" s="249"/>
      <c r="K146" s="253"/>
      <c r="L146" s="253"/>
    </row>
    <row r="147" spans="1:12" s="184" customFormat="1" x14ac:dyDescent="0.25">
      <c r="A147" s="267" t="s">
        <v>355</v>
      </c>
      <c r="B147" s="268" t="s">
        <v>356</v>
      </c>
      <c r="C147" s="289"/>
      <c r="D147" s="269"/>
      <c r="E147" s="270"/>
      <c r="F147" s="544"/>
      <c r="G147" s="270"/>
      <c r="H147" s="269"/>
      <c r="I147" s="270"/>
      <c r="J147" s="245"/>
      <c r="K147" s="246"/>
      <c r="L147" s="246"/>
    </row>
    <row r="148" spans="1:12" s="184" customFormat="1" x14ac:dyDescent="0.25">
      <c r="A148" s="245"/>
      <c r="B148" s="245"/>
      <c r="C148" s="245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84" customForma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45"/>
      <c r="K149" s="246"/>
      <c r="L149" s="246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G20"/>
  <sheetViews>
    <sheetView workbookViewId="0">
      <selection activeCell="D17" sqref="D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1056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40"/>
      <c r="B4" s="641"/>
      <c r="C4" s="641"/>
      <c r="D4" s="641"/>
      <c r="E4" s="641"/>
      <c r="F4" s="641"/>
      <c r="G4" s="64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222763.4</v>
      </c>
      <c r="D13" s="34"/>
      <c r="E13" s="35" t="s">
        <v>33</v>
      </c>
      <c r="F13" s="34"/>
      <c r="G13" s="42">
        <v>21892.3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1476</v>
      </c>
      <c r="D15" s="34"/>
      <c r="E15" s="35" t="s">
        <v>10</v>
      </c>
      <c r="F15" s="34"/>
      <c r="G15" s="42">
        <v>1713.14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23554</v>
      </c>
      <c r="D17" s="34"/>
      <c r="E17" s="35" t="s">
        <v>278</v>
      </c>
      <c r="F17" s="34"/>
      <c r="G17" s="42">
        <v>5554.01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258"/>
  <sheetViews>
    <sheetView zoomScaleNormal="100" workbookViewId="0">
      <pane ySplit="2" topLeftCell="A18" activePane="bottomLeft" state="frozen"/>
      <selection pane="bottomLeft" activeCell="K49" sqref="K49"/>
    </sheetView>
  </sheetViews>
  <sheetFormatPr defaultRowHeight="15" x14ac:dyDescent="0.25"/>
  <cols>
    <col min="1" max="1" width="41.28515625" style="293" customWidth="1"/>
    <col min="2" max="2" width="14.1406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6" customWidth="1"/>
    <col min="12" max="12" width="17.7109375" style="296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5"/>
      <c r="L1" s="245"/>
    </row>
    <row r="2" spans="1:12" s="199" customFormat="1" x14ac:dyDescent="0.25">
      <c r="A2" s="247" t="s">
        <v>437</v>
      </c>
      <c r="B2" s="629"/>
      <c r="C2" s="581"/>
      <c r="D2" s="579"/>
      <c r="E2" s="580"/>
      <c r="F2" s="631"/>
      <c r="G2" s="580"/>
      <c r="H2" s="579"/>
      <c r="I2" s="580"/>
      <c r="J2" s="581"/>
      <c r="K2" s="249"/>
      <c r="L2" s="249"/>
    </row>
    <row r="3" spans="1:12" s="148" customFormat="1" x14ac:dyDescent="0.25">
      <c r="A3" s="346" t="s">
        <v>339</v>
      </c>
      <c r="B3" s="255">
        <v>3038136345</v>
      </c>
      <c r="C3" s="256" t="s">
        <v>1031</v>
      </c>
      <c r="D3" s="257"/>
      <c r="E3" s="258"/>
      <c r="F3" s="586">
        <v>763.42</v>
      </c>
      <c r="G3" s="258">
        <v>1007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1031</v>
      </c>
      <c r="D4" s="263"/>
      <c r="E4" s="264"/>
      <c r="F4" s="583">
        <v>60.22</v>
      </c>
      <c r="G4" s="264">
        <v>18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1030</v>
      </c>
      <c r="D5" s="257"/>
      <c r="E5" s="258"/>
      <c r="F5" s="586">
        <v>59.53</v>
      </c>
      <c r="G5" s="258">
        <v>17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1033</v>
      </c>
      <c r="D6" s="263"/>
      <c r="E6" s="264"/>
      <c r="F6" s="583">
        <v>181.82</v>
      </c>
      <c r="G6" s="264">
        <v>189</v>
      </c>
      <c r="H6" s="263"/>
      <c r="I6" s="264"/>
      <c r="J6" s="262" t="s">
        <v>10</v>
      </c>
      <c r="K6" s="262"/>
      <c r="L6" s="262"/>
    </row>
    <row r="7" spans="1:12" s="149" customFormat="1" x14ac:dyDescent="0.25">
      <c r="A7" s="260" t="s">
        <v>41</v>
      </c>
      <c r="B7" s="261">
        <v>3044004323</v>
      </c>
      <c r="C7" s="262" t="s">
        <v>1031</v>
      </c>
      <c r="D7" s="263"/>
      <c r="E7" s="264"/>
      <c r="F7" s="583">
        <v>67.05</v>
      </c>
      <c r="G7" s="264">
        <v>12</v>
      </c>
      <c r="H7" s="263"/>
      <c r="I7" s="264"/>
      <c r="J7" s="262" t="s">
        <v>10</v>
      </c>
      <c r="K7" s="262"/>
      <c r="L7" s="262"/>
    </row>
    <row r="8" spans="1:12" s="149" customFormat="1" ht="21.75" customHeight="1" x14ac:dyDescent="0.25">
      <c r="A8" s="260" t="s">
        <v>42</v>
      </c>
      <c r="B8" s="261">
        <v>3029257704</v>
      </c>
      <c r="C8" s="262"/>
      <c r="D8" s="263"/>
      <c r="E8" s="264"/>
      <c r="F8" s="583">
        <v>61.91</v>
      </c>
      <c r="G8" s="264"/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1031</v>
      </c>
      <c r="D9" s="263"/>
      <c r="E9" s="264"/>
      <c r="F9" s="583">
        <v>51.7</v>
      </c>
      <c r="G9" s="264">
        <v>6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1031</v>
      </c>
      <c r="D10" s="263"/>
      <c r="E10" s="264"/>
      <c r="F10" s="583">
        <v>65.91</v>
      </c>
      <c r="G10" s="264">
        <v>26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1032</v>
      </c>
      <c r="D11" s="263"/>
      <c r="E11" s="264"/>
      <c r="F11" s="583">
        <v>59.99</v>
      </c>
      <c r="G11" s="264">
        <v>1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1032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1031</v>
      </c>
      <c r="D13" s="263"/>
      <c r="E13" s="264"/>
      <c r="F13" s="583">
        <v>68.75</v>
      </c>
      <c r="G13" s="264">
        <v>30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1031</v>
      </c>
      <c r="D14" s="263"/>
      <c r="E14" s="264"/>
      <c r="F14" s="583">
        <v>55.25</v>
      </c>
      <c r="G14" s="264">
        <v>11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1031</v>
      </c>
      <c r="D15" s="263"/>
      <c r="E15" s="264"/>
      <c r="F15" s="583">
        <v>134.18</v>
      </c>
      <c r="G15" s="264">
        <v>122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1037</v>
      </c>
      <c r="D16" s="263"/>
      <c r="E16" s="264"/>
      <c r="F16" s="583">
        <v>42.35</v>
      </c>
      <c r="G16" s="264">
        <v>25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1037</v>
      </c>
      <c r="D17" s="263"/>
      <c r="E17" s="264"/>
      <c r="F17" s="583">
        <v>55.54</v>
      </c>
      <c r="G17" s="264">
        <v>12</v>
      </c>
      <c r="H17" s="263"/>
      <c r="I17" s="264"/>
      <c r="J17" s="262" t="s">
        <v>10</v>
      </c>
      <c r="K17" s="262"/>
      <c r="L17" s="262"/>
    </row>
    <row r="18" spans="1:12" s="550" customFormat="1" ht="14.25" customHeight="1" x14ac:dyDescent="0.25">
      <c r="A18" s="552" t="s">
        <v>755</v>
      </c>
      <c r="B18" s="628"/>
      <c r="C18" s="554" t="s">
        <v>762</v>
      </c>
      <c r="D18" s="632"/>
      <c r="E18" s="633"/>
      <c r="F18" s="634"/>
      <c r="G18" s="633"/>
      <c r="H18" s="632"/>
      <c r="I18" s="633"/>
      <c r="J18" s="635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1029</v>
      </c>
      <c r="D19" s="572">
        <v>26.71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1029</v>
      </c>
      <c r="D20" s="572">
        <v>186.67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1029</v>
      </c>
      <c r="D21" s="572">
        <v>699.72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1040</v>
      </c>
      <c r="D22" s="572">
        <v>36.18</v>
      </c>
      <c r="E22" s="564">
        <v>39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1029</v>
      </c>
      <c r="D23" s="572">
        <v>15.4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1039</v>
      </c>
      <c r="D24" s="572">
        <v>78.290000000000006</v>
      </c>
      <c r="E24" s="564">
        <v>987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1039</v>
      </c>
      <c r="D25" s="572">
        <v>4297.53</v>
      </c>
      <c r="E25" s="564">
        <v>75800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1029</v>
      </c>
      <c r="D26" s="572">
        <v>310.01</v>
      </c>
      <c r="E26" s="564">
        <v>2739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1039</v>
      </c>
      <c r="D27" s="572">
        <v>887.69</v>
      </c>
      <c r="E27" s="564">
        <v>1500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1026</v>
      </c>
      <c r="D28" s="572">
        <v>311.14</v>
      </c>
      <c r="E28" s="564">
        <v>1360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1029</v>
      </c>
      <c r="D29" s="572">
        <v>882.39</v>
      </c>
      <c r="E29" s="564">
        <v>9320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1026</v>
      </c>
      <c r="D30" s="572">
        <v>555.20000000000005</v>
      </c>
      <c r="E30" s="564">
        <v>6874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1029</v>
      </c>
      <c r="D31" s="572">
        <v>1325.48</v>
      </c>
      <c r="E31" s="564">
        <v>15480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1029</v>
      </c>
      <c r="D32" s="572">
        <v>14.74</v>
      </c>
      <c r="E32" s="564">
        <v>7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1029</v>
      </c>
      <c r="D33" s="572">
        <v>21.45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1041</v>
      </c>
      <c r="D34" s="572">
        <v>21.13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1026</v>
      </c>
      <c r="D35" s="572">
        <v>156.24</v>
      </c>
      <c r="E35" s="564">
        <v>223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1027</v>
      </c>
      <c r="D36" s="572">
        <v>48.68</v>
      </c>
      <c r="E36" s="564">
        <v>517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1039</v>
      </c>
      <c r="D37" s="572">
        <v>323.17</v>
      </c>
      <c r="E37" s="564">
        <v>3595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1026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1027</v>
      </c>
      <c r="D39" s="572">
        <v>22.27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1041</v>
      </c>
      <c r="D40" s="572">
        <v>45.58</v>
      </c>
      <c r="E40" s="564">
        <v>510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1040</v>
      </c>
      <c r="D41" s="572">
        <v>36.840000000000003</v>
      </c>
      <c r="E41" s="564">
        <v>59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1029</v>
      </c>
      <c r="D42" s="572">
        <v>15.4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1029</v>
      </c>
      <c r="D43" s="572">
        <v>18.48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1039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1027</v>
      </c>
      <c r="D45" s="572">
        <v>173.84</v>
      </c>
      <c r="E45" s="564">
        <v>584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1029</v>
      </c>
      <c r="D46" s="572">
        <v>322.54000000000002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1029</v>
      </c>
      <c r="D47" s="572">
        <v>237.79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1029</v>
      </c>
      <c r="D48" s="572">
        <v>1508.47</v>
      </c>
      <c r="E48" s="564">
        <v>17880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1027</v>
      </c>
      <c r="D49" s="572">
        <v>22.27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1026</v>
      </c>
      <c r="D50" s="572">
        <v>26.87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1041</v>
      </c>
      <c r="D51" s="572">
        <v>60.44</v>
      </c>
      <c r="E51" s="564">
        <v>651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1027</v>
      </c>
      <c r="D52" s="572">
        <v>42.56</v>
      </c>
      <c r="E52" s="564">
        <v>425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1029</v>
      </c>
      <c r="D53" s="572">
        <v>21.48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1026</v>
      </c>
      <c r="D55" s="572">
        <v>39.770000000000003</v>
      </c>
      <c r="E55" s="564">
        <v>48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619" customFormat="1" ht="15.75" x14ac:dyDescent="0.25">
      <c r="A56" s="546" t="s">
        <v>866</v>
      </c>
      <c r="B56" s="546">
        <v>5216006478</v>
      </c>
      <c r="C56" s="546"/>
      <c r="D56" s="618"/>
      <c r="E56" s="547"/>
      <c r="F56" s="548"/>
      <c r="G56" s="547"/>
      <c r="H56" s="618"/>
      <c r="I56" s="547"/>
      <c r="J56" s="546"/>
      <c r="K56" s="546" t="s">
        <v>815</v>
      </c>
      <c r="L56" s="546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1040</v>
      </c>
      <c r="D57" s="572">
        <v>211.41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1027</v>
      </c>
      <c r="D58" s="572">
        <v>722.08</v>
      </c>
      <c r="E58" s="564">
        <v>9120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1026</v>
      </c>
      <c r="D59" s="572">
        <v>255.24</v>
      </c>
      <c r="E59" s="564">
        <v>2247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1041</v>
      </c>
      <c r="D60" s="572">
        <v>21.33</v>
      </c>
      <c r="E60" s="564">
        <v>115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1027</v>
      </c>
      <c r="D61" s="572">
        <v>137.72999999999999</v>
      </c>
      <c r="E61" s="564">
        <v>1856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1027</v>
      </c>
      <c r="D62" s="572">
        <v>540.44000000000005</v>
      </c>
      <c r="E62" s="564">
        <v>5646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1029</v>
      </c>
      <c r="D63" s="572">
        <v>24.52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619" customFormat="1" ht="15.75" x14ac:dyDescent="0.25">
      <c r="A64" s="546" t="s">
        <v>910</v>
      </c>
      <c r="B64" s="546">
        <v>5216007171</v>
      </c>
      <c r="C64" s="546"/>
      <c r="D64" s="618"/>
      <c r="E64" s="547"/>
      <c r="F64" s="548"/>
      <c r="G64" s="547"/>
      <c r="H64" s="618"/>
      <c r="I64" s="547"/>
      <c r="J64" s="546"/>
      <c r="K64" s="546"/>
      <c r="L64" s="546"/>
    </row>
    <row r="65" spans="1:12" s="565" customFormat="1" ht="15.75" x14ac:dyDescent="0.25">
      <c r="A65" s="563" t="s">
        <v>862</v>
      </c>
      <c r="B65" s="563">
        <v>5216006487</v>
      </c>
      <c r="C65" s="563" t="s">
        <v>1029</v>
      </c>
      <c r="D65" s="572">
        <v>1018.47</v>
      </c>
      <c r="E65" s="564">
        <v>9600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1039</v>
      </c>
      <c r="D66" s="572">
        <v>27.97</v>
      </c>
      <c r="E66" s="564">
        <v>223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1039</v>
      </c>
      <c r="D67" s="572">
        <v>44.45</v>
      </c>
      <c r="E67" s="564">
        <v>238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280" t="s">
        <v>878</v>
      </c>
      <c r="B68" s="630"/>
      <c r="C68" s="581"/>
      <c r="D68" s="579"/>
      <c r="E68" s="580"/>
      <c r="F68" s="631"/>
      <c r="G68" s="580"/>
      <c r="H68" s="579"/>
      <c r="I68" s="580"/>
      <c r="J68" s="581"/>
      <c r="K68" s="581"/>
      <c r="L68" s="581"/>
    </row>
    <row r="69" spans="1:12" s="149" customFormat="1" ht="26.25" x14ac:dyDescent="0.25">
      <c r="A69" s="260" t="s">
        <v>51</v>
      </c>
      <c r="B69" s="261" t="s">
        <v>208</v>
      </c>
      <c r="C69" s="266" t="s">
        <v>1020</v>
      </c>
      <c r="D69" s="263">
        <v>262</v>
      </c>
      <c r="E69" s="264">
        <v>2445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1020</v>
      </c>
      <c r="D70" s="263">
        <v>173</v>
      </c>
      <c r="E70" s="264">
        <v>1293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1020</v>
      </c>
      <c r="D71" s="263">
        <v>98</v>
      </c>
      <c r="E71" s="264">
        <v>501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1020</v>
      </c>
      <c r="D72" s="263">
        <v>41</v>
      </c>
      <c r="E72" s="264">
        <v>109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1020</v>
      </c>
      <c r="D73" s="263">
        <v>37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1020</v>
      </c>
      <c r="D74" s="263">
        <v>284</v>
      </c>
      <c r="E74" s="264">
        <v>2467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1020</v>
      </c>
      <c r="D75" s="263">
        <v>101</v>
      </c>
      <c r="E75" s="264">
        <v>839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1020</v>
      </c>
      <c r="D76" s="263">
        <v>54</v>
      </c>
      <c r="E76" s="264">
        <v>247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1020</v>
      </c>
      <c r="D77" s="263">
        <v>104</v>
      </c>
      <c r="E77" s="264">
        <v>562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1020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1020</v>
      </c>
      <c r="D79" s="263">
        <v>31</v>
      </c>
      <c r="E79" s="264">
        <v>6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82">
        <v>1402294701</v>
      </c>
      <c r="C80" s="266" t="s">
        <v>1020</v>
      </c>
      <c r="D80" s="263">
        <v>55.67</v>
      </c>
      <c r="E80" s="264">
        <v>60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1034</v>
      </c>
      <c r="D81" s="257">
        <v>86</v>
      </c>
      <c r="E81" s="258">
        <v>405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260" t="s">
        <v>768</v>
      </c>
      <c r="B82" s="261" t="s">
        <v>202</v>
      </c>
      <c r="C82" s="266" t="s">
        <v>1034</v>
      </c>
      <c r="D82" s="263">
        <v>1136</v>
      </c>
      <c r="E82" s="264">
        <v>10440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96</v>
      </c>
      <c r="B83" s="261">
        <v>7815400</v>
      </c>
      <c r="C83" s="262" t="s">
        <v>1034</v>
      </c>
      <c r="D83" s="263">
        <v>46</v>
      </c>
      <c r="E83" s="264">
        <v>78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97</v>
      </c>
      <c r="B84" s="261" t="s">
        <v>204</v>
      </c>
      <c r="C84" s="262" t="s">
        <v>1034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98</v>
      </c>
      <c r="B85" s="261" t="s">
        <v>205</v>
      </c>
      <c r="C85" s="262" t="s">
        <v>1034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769</v>
      </c>
      <c r="B86" s="261" t="s">
        <v>206</v>
      </c>
      <c r="C86" s="262" t="s">
        <v>1034</v>
      </c>
      <c r="D86" s="263">
        <v>57</v>
      </c>
      <c r="E86" s="264">
        <v>190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100</v>
      </c>
      <c r="B87" s="282">
        <v>1323346600</v>
      </c>
      <c r="C87" s="262" t="s">
        <v>1034</v>
      </c>
      <c r="D87" s="263">
        <v>259</v>
      </c>
      <c r="E87" s="264">
        <v>1200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101</v>
      </c>
      <c r="B88" s="282">
        <v>1322699400</v>
      </c>
      <c r="C88" s="262" t="s">
        <v>1034</v>
      </c>
      <c r="D88" s="263">
        <v>270</v>
      </c>
      <c r="E88" s="264">
        <v>1920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346" t="s">
        <v>772</v>
      </c>
      <c r="B89" s="347" t="s">
        <v>200</v>
      </c>
      <c r="C89" s="348" t="s">
        <v>1034</v>
      </c>
      <c r="D89" s="349">
        <v>280</v>
      </c>
      <c r="E89" s="350">
        <v>6.4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260" t="s">
        <v>110</v>
      </c>
      <c r="B90" s="261" t="s">
        <v>207</v>
      </c>
      <c r="C90" s="262" t="s">
        <v>1034</v>
      </c>
      <c r="D90" s="263">
        <v>120</v>
      </c>
      <c r="E90" s="264">
        <v>263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0" t="s">
        <v>111</v>
      </c>
      <c r="B91" s="261" t="s">
        <v>222</v>
      </c>
      <c r="C91" s="262" t="s">
        <v>1034</v>
      </c>
      <c r="D91" s="263">
        <v>70</v>
      </c>
      <c r="E91" s="264">
        <v>201</v>
      </c>
      <c r="F91" s="583"/>
      <c r="G91" s="264"/>
      <c r="H91" s="263"/>
      <c r="I91" s="264"/>
      <c r="J91" s="262" t="s">
        <v>33</v>
      </c>
      <c r="K91" s="262"/>
      <c r="L91" s="262"/>
    </row>
    <row r="92" spans="1:12" s="149" customFormat="1" ht="15.75" customHeight="1" x14ac:dyDescent="0.25">
      <c r="A92" s="260" t="s">
        <v>117</v>
      </c>
      <c r="B92" s="261" t="s">
        <v>220</v>
      </c>
      <c r="C92" s="262" t="s">
        <v>1034</v>
      </c>
      <c r="D92" s="263">
        <v>99</v>
      </c>
      <c r="E92" s="264">
        <v>515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118</v>
      </c>
      <c r="B93" s="261" t="s">
        <v>221</v>
      </c>
      <c r="C93" s="266" t="s">
        <v>1034</v>
      </c>
      <c r="D93" s="263">
        <v>89</v>
      </c>
      <c r="E93" s="264">
        <v>610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260" t="s">
        <v>701</v>
      </c>
      <c r="B94" s="261">
        <v>1323115001</v>
      </c>
      <c r="C94" s="266" t="s">
        <v>1034</v>
      </c>
      <c r="D94" s="263">
        <v>1543</v>
      </c>
      <c r="E94" s="264">
        <v>17040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683</v>
      </c>
      <c r="B95" s="261">
        <v>1322673502</v>
      </c>
      <c r="C95" s="266" t="s">
        <v>1034</v>
      </c>
      <c r="D95" s="263">
        <v>211</v>
      </c>
      <c r="E95" s="264">
        <v>1668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260" t="s">
        <v>702</v>
      </c>
      <c r="B96" s="261">
        <v>1322725900</v>
      </c>
      <c r="C96" s="266" t="s">
        <v>1034</v>
      </c>
      <c r="D96" s="263">
        <v>344</v>
      </c>
      <c r="E96" s="264">
        <v>2040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280" t="s">
        <v>434</v>
      </c>
      <c r="B97" s="630"/>
      <c r="C97" s="581"/>
      <c r="D97" s="579"/>
      <c r="E97" s="580"/>
      <c r="F97" s="631"/>
      <c r="G97" s="580"/>
      <c r="H97" s="579"/>
      <c r="I97" s="580"/>
      <c r="J97" s="581"/>
      <c r="K97" s="249"/>
      <c r="L97" s="249"/>
    </row>
    <row r="98" spans="1:12" s="149" customFormat="1" x14ac:dyDescent="0.25">
      <c r="A98" s="260" t="s">
        <v>65</v>
      </c>
      <c r="B98" s="261" t="s">
        <v>163</v>
      </c>
      <c r="C98" s="262" t="s">
        <v>1034</v>
      </c>
      <c r="D98" s="263"/>
      <c r="E98" s="264"/>
      <c r="F98" s="583"/>
      <c r="G98" s="264"/>
      <c r="H98" s="263">
        <v>239.48</v>
      </c>
      <c r="I98" s="264">
        <v>343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2" t="s">
        <v>1034</v>
      </c>
      <c r="D99" s="263"/>
      <c r="E99" s="264"/>
      <c r="F99" s="583"/>
      <c r="G99" s="264"/>
      <c r="H99" s="263">
        <v>250.09</v>
      </c>
      <c r="I99" s="264">
        <v>358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1034</v>
      </c>
      <c r="D100" s="263"/>
      <c r="E100" s="264"/>
      <c r="F100" s="583"/>
      <c r="G100" s="264"/>
      <c r="H100" s="263">
        <v>42.2</v>
      </c>
      <c r="I100" s="264">
        <v>36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1034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1034</v>
      </c>
      <c r="D102" s="263"/>
      <c r="E102" s="264"/>
      <c r="F102" s="583"/>
      <c r="G102" s="264"/>
      <c r="H102" s="263">
        <v>36.33</v>
      </c>
      <c r="I102" s="264">
        <v>25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1034</v>
      </c>
      <c r="D103" s="263"/>
      <c r="E103" s="264"/>
      <c r="F103" s="583"/>
      <c r="G103" s="264"/>
      <c r="H103" s="263">
        <v>33.659999999999997</v>
      </c>
      <c r="I103" s="264">
        <v>6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1034</v>
      </c>
      <c r="D104" s="263"/>
      <c r="E104" s="264"/>
      <c r="F104" s="583"/>
      <c r="G104" s="264"/>
      <c r="H104" s="263">
        <v>51.82</v>
      </c>
      <c r="I104" s="264">
        <v>54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1034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1034</v>
      </c>
      <c r="D106" s="263"/>
      <c r="E106" s="264"/>
      <c r="F106" s="583"/>
      <c r="G106" s="264"/>
      <c r="H106" s="263">
        <v>194.23</v>
      </c>
      <c r="I106" s="264">
        <v>279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1034</v>
      </c>
      <c r="D107" s="263"/>
      <c r="E107" s="264"/>
      <c r="F107" s="583"/>
      <c r="G107" s="264"/>
      <c r="H107" s="263">
        <v>33.659999999999997</v>
      </c>
      <c r="I107" s="264">
        <v>12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1034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1034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1034</v>
      </c>
      <c r="D110" s="263"/>
      <c r="E110" s="264"/>
      <c r="F110" s="583"/>
      <c r="G110" s="264"/>
      <c r="H110" s="263">
        <v>35.26</v>
      </c>
      <c r="I110" s="264">
        <v>23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1034</v>
      </c>
      <c r="D111" s="263"/>
      <c r="E111" s="264"/>
      <c r="F111" s="583"/>
      <c r="G111" s="264"/>
      <c r="H111" s="263">
        <v>33.659999999999997</v>
      </c>
      <c r="I111" s="264">
        <v>2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1034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2"/>
      <c r="L112" s="262"/>
    </row>
    <row r="113" spans="1:12" s="149" customFormat="1" x14ac:dyDescent="0.25">
      <c r="A113" s="260" t="s">
        <v>84</v>
      </c>
      <c r="B113" s="261" t="s">
        <v>175</v>
      </c>
      <c r="C113" s="262" t="s">
        <v>1034</v>
      </c>
      <c r="D113" s="263"/>
      <c r="E113" s="264"/>
      <c r="F113" s="583"/>
      <c r="G113" s="264"/>
      <c r="H113" s="263">
        <v>33.659999999999997</v>
      </c>
      <c r="I113" s="264">
        <v>7</v>
      </c>
      <c r="J113" s="262"/>
      <c r="K113" s="262"/>
      <c r="L113" s="262"/>
    </row>
    <row r="114" spans="1:12" s="149" customFormat="1" x14ac:dyDescent="0.25">
      <c r="A114" s="260" t="s">
        <v>85</v>
      </c>
      <c r="B114" s="261" t="s">
        <v>184</v>
      </c>
      <c r="C114" s="262" t="s">
        <v>1034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260" t="s">
        <v>86</v>
      </c>
      <c r="B115" s="261" t="s">
        <v>185</v>
      </c>
      <c r="C115" s="262" t="s">
        <v>1034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260" t="s">
        <v>87</v>
      </c>
      <c r="B116" s="261" t="s">
        <v>181</v>
      </c>
      <c r="C116" s="262" t="s">
        <v>1034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260" t="s">
        <v>88</v>
      </c>
      <c r="B117" s="261" t="s">
        <v>172</v>
      </c>
      <c r="C117" s="262" t="s">
        <v>1034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2"/>
      <c r="L117" s="262"/>
    </row>
    <row r="118" spans="1:12" s="149" customFormat="1" x14ac:dyDescent="0.25">
      <c r="A118" s="260" t="s">
        <v>89</v>
      </c>
      <c r="B118" s="261" t="s">
        <v>173</v>
      </c>
      <c r="C118" s="262" t="s">
        <v>1034</v>
      </c>
      <c r="D118" s="263"/>
      <c r="E118" s="264"/>
      <c r="F118" s="583"/>
      <c r="G118" s="264"/>
      <c r="H118" s="263">
        <v>33.659999999999997</v>
      </c>
      <c r="I118" s="264">
        <v>1</v>
      </c>
      <c r="J118" s="262"/>
      <c r="K118" s="262"/>
      <c r="L118" s="262"/>
    </row>
    <row r="119" spans="1:12" s="149" customFormat="1" x14ac:dyDescent="0.25">
      <c r="A119" s="260" t="s">
        <v>90</v>
      </c>
      <c r="B119" s="261" t="s">
        <v>174</v>
      </c>
      <c r="C119" s="262" t="s">
        <v>1034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260" t="s">
        <v>91</v>
      </c>
      <c r="B120" s="261" t="s">
        <v>182</v>
      </c>
      <c r="C120" s="262" t="s">
        <v>1034</v>
      </c>
      <c r="D120" s="263"/>
      <c r="E120" s="264"/>
      <c r="F120" s="583"/>
      <c r="G120" s="264"/>
      <c r="H120" s="263">
        <v>33.659999999999997</v>
      </c>
      <c r="I120" s="264">
        <v>11</v>
      </c>
      <c r="J120" s="262"/>
      <c r="K120" s="262"/>
      <c r="L120" s="262"/>
    </row>
    <row r="121" spans="1:12" s="149" customFormat="1" x14ac:dyDescent="0.25">
      <c r="A121" s="260" t="s">
        <v>92</v>
      </c>
      <c r="B121" s="261" t="s">
        <v>186</v>
      </c>
      <c r="C121" s="262" t="s">
        <v>1034</v>
      </c>
      <c r="D121" s="263"/>
      <c r="E121" s="264"/>
      <c r="F121" s="583"/>
      <c r="G121" s="264"/>
      <c r="H121" s="263">
        <v>100.39</v>
      </c>
      <c r="I121" s="264">
        <v>137</v>
      </c>
      <c r="J121" s="262"/>
      <c r="K121" s="262"/>
      <c r="L121" s="262"/>
    </row>
    <row r="122" spans="1:12" s="149" customFormat="1" x14ac:dyDescent="0.25">
      <c r="A122" s="260" t="s">
        <v>93</v>
      </c>
      <c r="B122" s="261" t="s">
        <v>183</v>
      </c>
      <c r="C122" s="262" t="s">
        <v>1034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260" t="s">
        <v>103</v>
      </c>
      <c r="B123" s="261" t="s">
        <v>194</v>
      </c>
      <c r="C123" s="262" t="s">
        <v>1034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260" t="s">
        <v>983</v>
      </c>
      <c r="B124" s="261" t="s">
        <v>981</v>
      </c>
      <c r="C124" s="262" t="s">
        <v>1034</v>
      </c>
      <c r="D124" s="263"/>
      <c r="E124" s="264"/>
      <c r="F124" s="583"/>
      <c r="G124" s="264"/>
      <c r="H124" s="263">
        <v>295.85000000000002</v>
      </c>
      <c r="I124" s="264">
        <v>421</v>
      </c>
      <c r="J124" s="262"/>
      <c r="K124" s="262"/>
      <c r="L124" s="262"/>
    </row>
    <row r="125" spans="1:12" s="184" customFormat="1" x14ac:dyDescent="0.25">
      <c r="A125" s="267" t="s">
        <v>980</v>
      </c>
      <c r="B125" s="268" t="s">
        <v>981</v>
      </c>
      <c r="C125" s="245"/>
      <c r="D125" s="269"/>
      <c r="E125" s="270"/>
      <c r="F125" s="544"/>
      <c r="G125" s="270"/>
      <c r="H125" s="269"/>
      <c r="I125" s="270"/>
      <c r="J125" s="245"/>
      <c r="K125" s="245"/>
      <c r="L125" s="245"/>
    </row>
    <row r="126" spans="1:12" s="149" customFormat="1" x14ac:dyDescent="0.25">
      <c r="A126" s="260" t="s">
        <v>105</v>
      </c>
      <c r="B126" s="261" t="s">
        <v>196</v>
      </c>
      <c r="C126" s="262" t="s">
        <v>1034</v>
      </c>
      <c r="D126" s="263"/>
      <c r="E126" s="264"/>
      <c r="F126" s="583"/>
      <c r="G126" s="264"/>
      <c r="H126" s="263">
        <v>50.49</v>
      </c>
      <c r="I126" s="264">
        <v>2</v>
      </c>
      <c r="J126" s="262"/>
      <c r="K126" s="262"/>
      <c r="L126" s="262"/>
    </row>
    <row r="127" spans="1:12" s="149" customFormat="1" x14ac:dyDescent="0.25">
      <c r="A127" s="260" t="s">
        <v>68</v>
      </c>
      <c r="B127" s="261" t="s">
        <v>166</v>
      </c>
      <c r="C127" s="262" t="s">
        <v>1034</v>
      </c>
      <c r="D127" s="263"/>
      <c r="E127" s="264"/>
      <c r="F127" s="583"/>
      <c r="G127" s="264"/>
      <c r="H127" s="263">
        <v>44.34</v>
      </c>
      <c r="I127" s="264">
        <v>40</v>
      </c>
      <c r="J127" s="262"/>
      <c r="K127" s="262"/>
      <c r="L127" s="262"/>
    </row>
    <row r="128" spans="1:12" s="149" customFormat="1" x14ac:dyDescent="0.25">
      <c r="A128" s="260" t="s">
        <v>46</v>
      </c>
      <c r="B128" s="261" t="s">
        <v>193</v>
      </c>
      <c r="C128" s="262" t="s">
        <v>1034</v>
      </c>
      <c r="D128" s="263"/>
      <c r="E128" s="264"/>
      <c r="F128" s="583"/>
      <c r="G128" s="264"/>
      <c r="H128" s="263">
        <v>33.659999999999997</v>
      </c>
      <c r="I128" s="264">
        <v>18</v>
      </c>
      <c r="J128" s="262"/>
      <c r="K128" s="262"/>
      <c r="L128" s="262"/>
    </row>
    <row r="129" spans="1:12" s="149" customFormat="1" x14ac:dyDescent="0.25">
      <c r="A129" s="260" t="s">
        <v>383</v>
      </c>
      <c r="B129" s="261" t="s">
        <v>192</v>
      </c>
      <c r="C129" s="262" t="s">
        <v>1034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2"/>
      <c r="L129" s="262"/>
    </row>
    <row r="130" spans="1:12" s="149" customFormat="1" x14ac:dyDescent="0.25">
      <c r="A130" s="260" t="s">
        <v>47</v>
      </c>
      <c r="B130" s="261" t="s">
        <v>139</v>
      </c>
      <c r="C130" s="262" t="s">
        <v>1043</v>
      </c>
      <c r="D130" s="263"/>
      <c r="E130" s="264"/>
      <c r="F130" s="583"/>
      <c r="G130" s="264"/>
      <c r="H130" s="263">
        <v>52.35</v>
      </c>
      <c r="I130" s="264">
        <v>55</v>
      </c>
      <c r="J130" s="262"/>
      <c r="K130" s="262"/>
      <c r="L130" s="262"/>
    </row>
    <row r="131" spans="1:12" s="149" customFormat="1" x14ac:dyDescent="0.25">
      <c r="A131" s="260" t="s">
        <v>64</v>
      </c>
      <c r="B131" s="261" t="s">
        <v>191</v>
      </c>
      <c r="C131" s="262" t="s">
        <v>1034</v>
      </c>
      <c r="D131" s="263"/>
      <c r="E131" s="264"/>
      <c r="F131" s="583"/>
      <c r="G131" s="264"/>
      <c r="H131" s="263">
        <v>162.05000000000001</v>
      </c>
      <c r="I131" s="264">
        <v>232</v>
      </c>
      <c r="J131" s="262"/>
      <c r="K131" s="262"/>
      <c r="L131" s="262"/>
    </row>
    <row r="132" spans="1:12" s="149" customFormat="1" x14ac:dyDescent="0.25">
      <c r="A132" s="260" t="s">
        <v>130</v>
      </c>
      <c r="B132" s="261" t="s">
        <v>131</v>
      </c>
      <c r="C132" s="262" t="s">
        <v>1043</v>
      </c>
      <c r="D132" s="263"/>
      <c r="E132" s="264"/>
      <c r="F132" s="583"/>
      <c r="G132" s="264"/>
      <c r="H132" s="263">
        <v>617.15</v>
      </c>
      <c r="I132" s="264">
        <v>841</v>
      </c>
      <c r="J132" s="262"/>
      <c r="K132" s="262"/>
      <c r="L132" s="262"/>
    </row>
    <row r="133" spans="1:12" s="149" customFormat="1" x14ac:dyDescent="0.25">
      <c r="A133" s="260" t="s">
        <v>134</v>
      </c>
      <c r="B133" s="261" t="s">
        <v>133</v>
      </c>
      <c r="C133" s="262" t="s">
        <v>1043</v>
      </c>
      <c r="D133" s="263"/>
      <c r="E133" s="264"/>
      <c r="F133" s="583"/>
      <c r="G133" s="264"/>
      <c r="H133" s="263">
        <v>34.19</v>
      </c>
      <c r="I133" s="264">
        <v>21</v>
      </c>
      <c r="J133" s="262"/>
      <c r="K133" s="262"/>
      <c r="L133" s="262"/>
    </row>
    <row r="134" spans="1:12" s="149" customFormat="1" x14ac:dyDescent="0.25">
      <c r="A134" s="346" t="s">
        <v>309</v>
      </c>
      <c r="B134" s="261" t="s">
        <v>135</v>
      </c>
      <c r="C134" s="262" t="s">
        <v>1043</v>
      </c>
      <c r="D134" s="263"/>
      <c r="E134" s="264"/>
      <c r="F134" s="583"/>
      <c r="G134" s="264"/>
      <c r="H134" s="263">
        <v>1506.08</v>
      </c>
      <c r="I134" s="264">
        <v>2003</v>
      </c>
      <c r="J134" s="262"/>
      <c r="K134" s="262"/>
      <c r="L134" s="262"/>
    </row>
    <row r="135" spans="1:12" s="149" customFormat="1" x14ac:dyDescent="0.25">
      <c r="A135" s="260" t="s">
        <v>137</v>
      </c>
      <c r="B135" s="261" t="s">
        <v>138</v>
      </c>
      <c r="C135" s="262" t="s">
        <v>1043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260" t="s">
        <v>140</v>
      </c>
      <c r="B136" s="261" t="s">
        <v>141</v>
      </c>
      <c r="C136" s="266" t="s">
        <v>1043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2"/>
      <c r="L136" s="262"/>
    </row>
    <row r="137" spans="1:12" s="149" customFormat="1" x14ac:dyDescent="0.25">
      <c r="A137" s="260" t="s">
        <v>142</v>
      </c>
      <c r="B137" s="261" t="s">
        <v>143</v>
      </c>
      <c r="C137" s="262" t="s">
        <v>1043</v>
      </c>
      <c r="D137" s="263"/>
      <c r="E137" s="264"/>
      <c r="F137" s="583"/>
      <c r="G137" s="264"/>
      <c r="H137" s="263">
        <v>33.659999999999997</v>
      </c>
      <c r="I137" s="264">
        <v>16</v>
      </c>
      <c r="J137" s="262"/>
      <c r="K137" s="262"/>
      <c r="L137" s="262"/>
    </row>
    <row r="138" spans="1:12" s="149" customFormat="1" x14ac:dyDescent="0.25">
      <c r="A138" s="260" t="s">
        <v>587</v>
      </c>
      <c r="B138" s="261" t="s">
        <v>145</v>
      </c>
      <c r="C138" s="262" t="s">
        <v>1043</v>
      </c>
      <c r="D138" s="263"/>
      <c r="E138" s="264"/>
      <c r="F138" s="583"/>
      <c r="G138" s="264"/>
      <c r="H138" s="263">
        <v>363.17</v>
      </c>
      <c r="I138" s="264">
        <v>509</v>
      </c>
      <c r="J138" s="262"/>
      <c r="K138" s="262"/>
      <c r="L138" s="262"/>
    </row>
    <row r="139" spans="1:12" s="149" customFormat="1" x14ac:dyDescent="0.25">
      <c r="A139" s="260" t="s">
        <v>588</v>
      </c>
      <c r="B139" s="261" t="s">
        <v>147</v>
      </c>
      <c r="C139" s="262" t="s">
        <v>1043</v>
      </c>
      <c r="D139" s="263"/>
      <c r="E139" s="264"/>
      <c r="F139" s="583"/>
      <c r="G139" s="264"/>
      <c r="H139" s="263">
        <v>308.08999999999997</v>
      </c>
      <c r="I139" s="264">
        <v>437</v>
      </c>
      <c r="J139" s="262"/>
      <c r="K139" s="262"/>
      <c r="L139" s="262"/>
    </row>
    <row r="140" spans="1:12" s="149" customFormat="1" x14ac:dyDescent="0.25">
      <c r="A140" s="260" t="s">
        <v>176</v>
      </c>
      <c r="B140" s="261" t="s">
        <v>165</v>
      </c>
      <c r="C140" s="262" t="s">
        <v>1024</v>
      </c>
      <c r="D140" s="263"/>
      <c r="E140" s="264"/>
      <c r="F140" s="583"/>
      <c r="G140" s="264"/>
      <c r="H140" s="263">
        <v>231</v>
      </c>
      <c r="I140" s="264">
        <v>331</v>
      </c>
      <c r="J140" s="262"/>
      <c r="K140" s="262"/>
      <c r="L140" s="262"/>
    </row>
    <row r="141" spans="1:12" s="199" customFormat="1" x14ac:dyDescent="0.25">
      <c r="A141" s="280" t="s">
        <v>433</v>
      </c>
      <c r="B141" s="630"/>
      <c r="C141" s="581"/>
      <c r="D141" s="579"/>
      <c r="E141" s="580"/>
      <c r="F141" s="631"/>
      <c r="G141" s="580"/>
      <c r="H141" s="579"/>
      <c r="I141" s="580"/>
      <c r="J141" s="581"/>
      <c r="K141" s="249"/>
      <c r="L141" s="249"/>
    </row>
    <row r="142" spans="1:12" s="149" customFormat="1" x14ac:dyDescent="0.25">
      <c r="A142" s="260" t="s">
        <v>107</v>
      </c>
      <c r="B142" s="261">
        <v>67</v>
      </c>
      <c r="C142" s="266">
        <v>43048</v>
      </c>
      <c r="D142" s="263"/>
      <c r="E142" s="264"/>
      <c r="F142" s="583"/>
      <c r="G142" s="264"/>
      <c r="H142" s="263">
        <v>35.18</v>
      </c>
      <c r="I142" s="264">
        <v>110</v>
      </c>
      <c r="J142" s="262"/>
      <c r="K142" s="262"/>
      <c r="L142" s="262"/>
    </row>
    <row r="143" spans="1:12" s="149" customFormat="1" x14ac:dyDescent="0.25">
      <c r="A143" s="260" t="s">
        <v>109</v>
      </c>
      <c r="B143" s="261">
        <v>95</v>
      </c>
      <c r="C143" s="262" t="s">
        <v>1038</v>
      </c>
      <c r="D143" s="263"/>
      <c r="E143" s="264"/>
      <c r="F143" s="583"/>
      <c r="G143" s="264"/>
      <c r="H143" s="263">
        <v>60</v>
      </c>
      <c r="I143" s="264">
        <v>800</v>
      </c>
      <c r="J143" s="262"/>
      <c r="K143" s="262"/>
      <c r="L143" s="262"/>
    </row>
    <row r="144" spans="1:12" s="199" customFormat="1" x14ac:dyDescent="0.25">
      <c r="A144" s="247" t="s">
        <v>432</v>
      </c>
      <c r="B144" s="629"/>
      <c r="C144" s="581"/>
      <c r="D144" s="579"/>
      <c r="E144" s="580"/>
      <c r="F144" s="631"/>
      <c r="G144" s="580"/>
      <c r="H144" s="579"/>
      <c r="I144" s="580"/>
      <c r="J144" s="581"/>
      <c r="K144" s="249"/>
      <c r="L144" s="249"/>
    </row>
    <row r="145" spans="1:12" s="149" customFormat="1" x14ac:dyDescent="0.25">
      <c r="A145" s="260" t="s">
        <v>156</v>
      </c>
      <c r="B145" s="291">
        <v>61</v>
      </c>
      <c r="C145" s="266"/>
      <c r="D145" s="263"/>
      <c r="E145" s="264"/>
      <c r="F145" s="583"/>
      <c r="G145" s="264"/>
      <c r="H145" s="263">
        <v>35.18</v>
      </c>
      <c r="I145" s="264">
        <v>110</v>
      </c>
      <c r="J145" s="262"/>
      <c r="K145" s="262"/>
      <c r="L145" s="262"/>
    </row>
    <row r="146" spans="1:12" s="199" customFormat="1" x14ac:dyDescent="0.25">
      <c r="A146" s="280" t="s">
        <v>431</v>
      </c>
      <c r="B146" s="630"/>
      <c r="C146" s="249"/>
      <c r="D146" s="250"/>
      <c r="E146" s="251"/>
      <c r="F146" s="543"/>
      <c r="G146" s="251"/>
      <c r="H146" s="250"/>
      <c r="I146" s="251"/>
      <c r="J146" s="249"/>
      <c r="K146" s="249"/>
      <c r="L146" s="249"/>
    </row>
    <row r="147" spans="1:12" s="149" customFormat="1" ht="26.25" x14ac:dyDescent="0.25">
      <c r="A147" s="260" t="s">
        <v>40</v>
      </c>
      <c r="B147" s="261">
        <v>95</v>
      </c>
      <c r="C147" s="266" t="s">
        <v>1035</v>
      </c>
      <c r="D147" s="263"/>
      <c r="E147" s="264"/>
      <c r="F147" s="583"/>
      <c r="G147" s="264"/>
      <c r="H147" s="263">
        <v>20</v>
      </c>
      <c r="I147" s="264">
        <v>500</v>
      </c>
      <c r="J147" s="262"/>
      <c r="K147" s="262"/>
      <c r="L147" s="262"/>
    </row>
    <row r="148" spans="1:12" s="199" customFormat="1" ht="26.25" x14ac:dyDescent="0.25">
      <c r="A148" s="280" t="s">
        <v>430</v>
      </c>
      <c r="B148" s="577"/>
      <c r="C148" s="578"/>
      <c r="D148" s="579"/>
      <c r="E148" s="580"/>
      <c r="F148" s="631"/>
      <c r="G148" s="580"/>
      <c r="H148" s="579"/>
      <c r="I148" s="580"/>
      <c r="J148" s="581"/>
      <c r="K148" s="249"/>
      <c r="L148" s="249"/>
    </row>
    <row r="149" spans="1:12" s="149" customFormat="1" x14ac:dyDescent="0.25">
      <c r="A149" s="260" t="s">
        <v>355</v>
      </c>
      <c r="B149" s="261" t="s">
        <v>356</v>
      </c>
      <c r="C149" s="266" t="s">
        <v>1042</v>
      </c>
      <c r="D149" s="263"/>
      <c r="E149" s="264"/>
      <c r="F149" s="583"/>
      <c r="G149" s="264"/>
      <c r="H149" s="263">
        <v>14.91</v>
      </c>
      <c r="I149" s="264">
        <v>15810</v>
      </c>
      <c r="J149" s="262"/>
      <c r="K149" s="262"/>
      <c r="L149" s="262"/>
    </row>
    <row r="150" spans="1:12" s="184" customFormat="1" ht="46.5" customHeight="1" x14ac:dyDescent="0.25">
      <c r="A150" s="559"/>
      <c r="B150" s="559"/>
      <c r="C150" s="559"/>
      <c r="D150" s="574"/>
      <c r="E150" s="561"/>
      <c r="F150" s="562"/>
      <c r="G150" s="561"/>
      <c r="H150" s="574"/>
      <c r="I150" s="561"/>
      <c r="J150" s="560"/>
      <c r="K150" s="245"/>
      <c r="L150" s="245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5"/>
      <c r="L258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G20"/>
  <sheetViews>
    <sheetView workbookViewId="0">
      <selection activeCell="I18" sqref="I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1036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36"/>
      <c r="B4" s="637"/>
      <c r="C4" s="637"/>
      <c r="D4" s="637"/>
      <c r="E4" s="637"/>
      <c r="F4" s="637"/>
      <c r="G4" s="63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261754.56</v>
      </c>
      <c r="D13" s="34"/>
      <c r="E13" s="35" t="s">
        <v>33</v>
      </c>
      <c r="F13" s="34"/>
      <c r="G13" s="42">
        <v>23687.81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1265</v>
      </c>
      <c r="D15" s="34"/>
      <c r="E15" s="35" t="s">
        <v>10</v>
      </c>
      <c r="F15" s="34"/>
      <c r="G15" s="42">
        <v>1326.37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10185</v>
      </c>
      <c r="D17" s="34"/>
      <c r="E17" s="35" t="s">
        <v>278</v>
      </c>
      <c r="F17" s="34"/>
      <c r="G17" s="42">
        <v>7950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257"/>
  <sheetViews>
    <sheetView zoomScaleNormal="100" workbookViewId="0">
      <pane ySplit="2" topLeftCell="A42" activePane="bottomLeft" state="frozen"/>
      <selection pane="bottomLeft" activeCell="K36" sqref="K36"/>
    </sheetView>
  </sheetViews>
  <sheetFormatPr defaultRowHeight="15" x14ac:dyDescent="0.25"/>
  <cols>
    <col min="1" max="1" width="38.7109375" style="293" customWidth="1"/>
    <col min="2" max="2" width="14" style="293" customWidth="1"/>
    <col min="3" max="3" width="24.4257812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1009</v>
      </c>
      <c r="E1" s="243" t="s">
        <v>1008</v>
      </c>
      <c r="F1" s="542" t="s">
        <v>1010</v>
      </c>
      <c r="G1" s="243" t="s">
        <v>1008</v>
      </c>
      <c r="H1" s="242" t="s">
        <v>1011</v>
      </c>
      <c r="I1" s="243" t="s">
        <v>1008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1012</v>
      </c>
      <c r="D3" s="257"/>
      <c r="E3" s="258"/>
      <c r="F3" s="586">
        <v>387.35</v>
      </c>
      <c r="G3" s="258">
        <v>490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1014</v>
      </c>
      <c r="D4" s="263"/>
      <c r="E4" s="264"/>
      <c r="F4" s="583">
        <v>61.31</v>
      </c>
      <c r="G4" s="264">
        <v>20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1015</v>
      </c>
      <c r="D5" s="257"/>
      <c r="E5" s="258"/>
      <c r="F5" s="586">
        <v>62.69</v>
      </c>
      <c r="G5" s="258">
        <v>22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1013</v>
      </c>
      <c r="D6" s="263"/>
      <c r="E6" s="264"/>
      <c r="F6" s="583">
        <v>169.52</v>
      </c>
      <c r="G6" s="264">
        <v>176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1012</v>
      </c>
      <c r="D7" s="263"/>
      <c r="E7" s="264"/>
      <c r="F7" s="583">
        <v>66.849999999999994</v>
      </c>
      <c r="G7" s="264">
        <v>12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1012</v>
      </c>
      <c r="D8" s="263"/>
      <c r="E8" s="264"/>
      <c r="F8" s="583">
        <v>60.59</v>
      </c>
      <c r="G8" s="264">
        <v>2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1014</v>
      </c>
      <c r="D9" s="263"/>
      <c r="E9" s="264"/>
      <c r="F9" s="583">
        <v>15.58</v>
      </c>
      <c r="G9" s="264">
        <v>10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1014</v>
      </c>
      <c r="D10" s="263"/>
      <c r="E10" s="264"/>
      <c r="F10" s="583">
        <v>74.489999999999995</v>
      </c>
      <c r="G10" s="264">
        <v>39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1012</v>
      </c>
      <c r="D11" s="263"/>
      <c r="E11" s="264"/>
      <c r="F11" s="583">
        <v>59.34</v>
      </c>
      <c r="G11" s="264">
        <v>0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1014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1014</v>
      </c>
      <c r="D13" s="263"/>
      <c r="E13" s="264"/>
      <c r="F13" s="583">
        <v>48.12</v>
      </c>
      <c r="G13" s="264">
        <v>1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1016</v>
      </c>
      <c r="D14" s="263"/>
      <c r="E14" s="264"/>
      <c r="F14" s="583">
        <v>56.46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1014</v>
      </c>
      <c r="D15" s="263"/>
      <c r="E15" s="264"/>
      <c r="F15" s="583">
        <v>132.75</v>
      </c>
      <c r="G15" s="264">
        <v>463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1018</v>
      </c>
      <c r="D16" s="263"/>
      <c r="E16" s="264"/>
      <c r="F16" s="583">
        <v>36.46</v>
      </c>
      <c r="G16" s="264">
        <v>17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1018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1007</v>
      </c>
      <c r="D19" s="572">
        <v>53.07</v>
      </c>
      <c r="E19" s="564">
        <v>499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1007</v>
      </c>
      <c r="D20" s="572">
        <v>185.26</v>
      </c>
      <c r="E20" s="564">
        <v>640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1007</v>
      </c>
      <c r="D21" s="572">
        <v>690.44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1023</v>
      </c>
      <c r="D22" s="572">
        <v>19.52</v>
      </c>
      <c r="E22" s="564">
        <v>79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1007</v>
      </c>
      <c r="D23" s="572">
        <v>15.25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1018</v>
      </c>
      <c r="D24" s="572">
        <v>114.76</v>
      </c>
      <c r="E24" s="564">
        <v>1384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1018</v>
      </c>
      <c r="D25" s="572">
        <v>5390.89</v>
      </c>
      <c r="E25" s="564">
        <v>90300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1007</v>
      </c>
      <c r="D26" s="572">
        <v>326.14999999999998</v>
      </c>
      <c r="E26" s="564">
        <v>3465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1018</v>
      </c>
      <c r="D27" s="572">
        <v>426.46</v>
      </c>
      <c r="E27" s="564">
        <v>600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1025</v>
      </c>
      <c r="D28" s="572">
        <v>311.14</v>
      </c>
      <c r="E28" s="564">
        <v>1360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1007</v>
      </c>
      <c r="D29" s="572">
        <v>918.96</v>
      </c>
      <c r="E29" s="564">
        <v>11360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1007</v>
      </c>
      <c r="D30" s="572">
        <v>906.64</v>
      </c>
      <c r="E30" s="564">
        <v>13476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1007</v>
      </c>
      <c r="D31" s="572">
        <v>1346.28</v>
      </c>
      <c r="E31" s="564">
        <v>18000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1007</v>
      </c>
      <c r="D32" s="572">
        <v>14.77</v>
      </c>
      <c r="E32" s="564">
        <v>8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1007</v>
      </c>
      <c r="D33" s="572">
        <v>21.12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1020</v>
      </c>
      <c r="D34" s="572">
        <v>21.44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20.25" customHeight="1" x14ac:dyDescent="0.25">
      <c r="A35" s="563" t="s">
        <v>870</v>
      </c>
      <c r="B35" s="563">
        <v>5216006456</v>
      </c>
      <c r="C35" s="563" t="s">
        <v>1007</v>
      </c>
      <c r="D35" s="572">
        <v>159.37</v>
      </c>
      <c r="E35" s="564">
        <v>330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1007</v>
      </c>
      <c r="D36" s="572">
        <v>74.94</v>
      </c>
      <c r="E36" s="564">
        <v>988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1018</v>
      </c>
      <c r="D37" s="572">
        <v>427.78</v>
      </c>
      <c r="E37" s="564">
        <v>5180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1025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1007</v>
      </c>
      <c r="D39" s="572">
        <v>21.88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1020</v>
      </c>
      <c r="D40" s="572">
        <v>57.08</v>
      </c>
      <c r="E40" s="564">
        <v>652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1023</v>
      </c>
      <c r="D41" s="572">
        <v>18.920000000000002</v>
      </c>
      <c r="E41" s="564">
        <v>70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1007</v>
      </c>
      <c r="D42" s="572">
        <v>15.25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1007</v>
      </c>
      <c r="D43" s="572">
        <v>18.3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1023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1007</v>
      </c>
      <c r="D45" s="572">
        <v>174.16</v>
      </c>
      <c r="E45" s="564">
        <v>679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1007</v>
      </c>
      <c r="D46" s="572">
        <v>318.26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1007</v>
      </c>
      <c r="D47" s="572">
        <v>235.65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1007</v>
      </c>
      <c r="D48" s="572">
        <v>1491.31</v>
      </c>
      <c r="E48" s="564">
        <v>20520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1007</v>
      </c>
      <c r="D49" s="572">
        <v>21.88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1025</v>
      </c>
      <c r="D50" s="572">
        <v>26.87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1020</v>
      </c>
      <c r="D51" s="572">
        <v>51.72</v>
      </c>
      <c r="E51" s="564">
        <v>498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1007</v>
      </c>
      <c r="D52" s="572">
        <v>67.3</v>
      </c>
      <c r="E52" s="564">
        <v>864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1007</v>
      </c>
      <c r="D53" s="572">
        <v>21.12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4.25" customHeight="1" x14ac:dyDescent="0.25">
      <c r="A54" s="563" t="s">
        <v>846</v>
      </c>
      <c r="B54" s="563">
        <v>5074402</v>
      </c>
      <c r="C54" s="563"/>
      <c r="D54" s="572"/>
      <c r="E54" s="564"/>
      <c r="F54" s="604"/>
      <c r="G54" s="564"/>
      <c r="H54" s="572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1007</v>
      </c>
      <c r="D55" s="572">
        <v>26.53</v>
      </c>
      <c r="E55" s="564">
        <v>80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1018</v>
      </c>
      <c r="D56" s="572">
        <v>41.14</v>
      </c>
      <c r="E56" s="564">
        <v>404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1023</v>
      </c>
      <c r="D57" s="572">
        <v>106.55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1007</v>
      </c>
      <c r="D58" s="572">
        <v>733.7</v>
      </c>
      <c r="E58" s="564">
        <v>10560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1025</v>
      </c>
      <c r="D59" s="572">
        <v>255.24</v>
      </c>
      <c r="E59" s="564">
        <v>2247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1020</v>
      </c>
      <c r="D60" s="572">
        <v>23.96</v>
      </c>
      <c r="E60" s="564">
        <v>147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1007</v>
      </c>
      <c r="D61" s="572">
        <v>144.1</v>
      </c>
      <c r="E61" s="564">
        <v>2115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1007</v>
      </c>
      <c r="D62" s="572">
        <v>500.04</v>
      </c>
      <c r="E62" s="564">
        <v>5206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1007</v>
      </c>
      <c r="D63" s="572">
        <v>24.21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1023</v>
      </c>
      <c r="D64" s="572">
        <v>24.32</v>
      </c>
      <c r="E64" s="564">
        <v>152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1007</v>
      </c>
      <c r="D65" s="572">
        <v>997.43</v>
      </c>
      <c r="E65" s="564">
        <v>9600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1018</v>
      </c>
      <c r="D66" s="572">
        <v>29.87</v>
      </c>
      <c r="E66" s="564">
        <v>235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1018</v>
      </c>
      <c r="D67" s="572">
        <v>15.54</v>
      </c>
      <c r="E67" s="564">
        <v>19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1020</v>
      </c>
      <c r="D69" s="263">
        <v>262</v>
      </c>
      <c r="E69" s="264">
        <v>2445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1020</v>
      </c>
      <c r="D70" s="263">
        <v>173</v>
      </c>
      <c r="E70" s="264">
        <v>1293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1020</v>
      </c>
      <c r="D71" s="263">
        <v>98</v>
      </c>
      <c r="E71" s="264">
        <v>501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1020</v>
      </c>
      <c r="D72" s="263">
        <v>41</v>
      </c>
      <c r="E72" s="264">
        <v>109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1020</v>
      </c>
      <c r="D73" s="263">
        <v>37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1020</v>
      </c>
      <c r="D74" s="263">
        <v>284</v>
      </c>
      <c r="E74" s="264">
        <v>2467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1020</v>
      </c>
      <c r="D75" s="263">
        <v>101</v>
      </c>
      <c r="E75" s="264">
        <v>839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1020</v>
      </c>
      <c r="D76" s="263">
        <v>54</v>
      </c>
      <c r="E76" s="264">
        <v>247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1020</v>
      </c>
      <c r="D77" s="263">
        <v>104</v>
      </c>
      <c r="E77" s="264">
        <v>562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1020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1020</v>
      </c>
      <c r="D79" s="263">
        <v>31</v>
      </c>
      <c r="E79" s="264">
        <v>6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82">
        <v>1402294701</v>
      </c>
      <c r="C80" s="266" t="s">
        <v>1020</v>
      </c>
      <c r="D80" s="263">
        <v>55.67</v>
      </c>
      <c r="E80" s="264">
        <v>60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1020</v>
      </c>
      <c r="D81" s="257">
        <v>158</v>
      </c>
      <c r="E81" s="258">
        <v>1172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1020</v>
      </c>
      <c r="D82" s="263">
        <v>1462</v>
      </c>
      <c r="E82" s="264">
        <v>9960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1020</v>
      </c>
      <c r="D83" s="263">
        <v>43</v>
      </c>
      <c r="E83" s="264">
        <v>46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6" t="s">
        <v>1020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1020</v>
      </c>
      <c r="D85" s="263">
        <v>30</v>
      </c>
      <c r="E85" s="264">
        <v>144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1020</v>
      </c>
      <c r="D86" s="263">
        <v>109</v>
      </c>
      <c r="E86" s="264">
        <v>744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1020</v>
      </c>
      <c r="D87" s="263">
        <v>313</v>
      </c>
      <c r="E87" s="264">
        <v>1800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1020</v>
      </c>
      <c r="D88" s="263">
        <v>267</v>
      </c>
      <c r="E88" s="264">
        <v>1920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1021</v>
      </c>
      <c r="D89" s="349">
        <v>277</v>
      </c>
      <c r="E89" s="350">
        <v>9.56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1020</v>
      </c>
      <c r="D90" s="263">
        <v>125</v>
      </c>
      <c r="E90" s="264">
        <v>324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1020</v>
      </c>
      <c r="D91" s="263">
        <v>82</v>
      </c>
      <c r="E91" s="264">
        <v>330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1020</v>
      </c>
      <c r="D92" s="263">
        <v>108</v>
      </c>
      <c r="E92" s="264">
        <v>615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1020</v>
      </c>
      <c r="D93" s="263">
        <v>84</v>
      </c>
      <c r="E93" s="264">
        <v>567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1020</v>
      </c>
      <c r="D94" s="263">
        <v>1717</v>
      </c>
      <c r="E94" s="264">
        <v>20640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1020</v>
      </c>
      <c r="D95" s="263">
        <v>162</v>
      </c>
      <c r="E95" s="264">
        <v>1182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1020</v>
      </c>
      <c r="D96" s="263">
        <v>408</v>
      </c>
      <c r="E96" s="264">
        <v>2760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1020</v>
      </c>
      <c r="D98" s="263"/>
      <c r="E98" s="264"/>
      <c r="F98" s="583"/>
      <c r="G98" s="264"/>
      <c r="H98" s="263">
        <v>384.59</v>
      </c>
      <c r="I98" s="264">
        <v>537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1020</v>
      </c>
      <c r="D99" s="263"/>
      <c r="E99" s="264"/>
      <c r="F99" s="583"/>
      <c r="G99" s="264"/>
      <c r="H99" s="263">
        <v>287.43</v>
      </c>
      <c r="I99" s="264">
        <v>410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1020</v>
      </c>
      <c r="D100" s="263"/>
      <c r="E100" s="264"/>
      <c r="F100" s="583"/>
      <c r="G100" s="264"/>
      <c r="H100" s="263">
        <v>33.659999999999997</v>
      </c>
      <c r="I100" s="264">
        <v>14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1020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1020</v>
      </c>
      <c r="D102" s="263"/>
      <c r="E102" s="264"/>
      <c r="F102" s="583"/>
      <c r="G102" s="264"/>
      <c r="H102" s="263">
        <v>42.2</v>
      </c>
      <c r="I102" s="264">
        <v>36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1020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1020</v>
      </c>
      <c r="D104" s="263"/>
      <c r="E104" s="264"/>
      <c r="F104" s="583"/>
      <c r="G104" s="264"/>
      <c r="H104" s="263">
        <v>42.74</v>
      </c>
      <c r="I104" s="264">
        <v>37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1020</v>
      </c>
      <c r="D105" s="263"/>
      <c r="E105" s="264"/>
      <c r="F105" s="583"/>
      <c r="G105" s="264"/>
      <c r="H105" s="263">
        <v>33.659999999999997</v>
      </c>
      <c r="I105" s="264">
        <v>20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1020</v>
      </c>
      <c r="D106" s="263"/>
      <c r="E106" s="264"/>
      <c r="F106" s="583"/>
      <c r="G106" s="264"/>
      <c r="H106" s="263">
        <v>198.48</v>
      </c>
      <c r="I106" s="264">
        <v>285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1020</v>
      </c>
      <c r="D107" s="263"/>
      <c r="E107" s="264"/>
      <c r="F107" s="583"/>
      <c r="G107" s="264"/>
      <c r="H107" s="263">
        <v>33.659999999999997</v>
      </c>
      <c r="I107" s="264">
        <v>11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1020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1020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1020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1020</v>
      </c>
      <c r="D111" s="263"/>
      <c r="E111" s="264"/>
      <c r="F111" s="583"/>
      <c r="G111" s="264"/>
      <c r="H111" s="263">
        <v>37.93</v>
      </c>
      <c r="I111" s="264">
        <v>28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1020</v>
      </c>
      <c r="D112" s="263"/>
      <c r="E112" s="264"/>
      <c r="F112" s="583"/>
      <c r="G112" s="264"/>
      <c r="H112" s="263">
        <v>45.94</v>
      </c>
      <c r="I112" s="264">
        <v>43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1020</v>
      </c>
      <c r="D113" s="263"/>
      <c r="E113" s="264"/>
      <c r="F113" s="583"/>
      <c r="G113" s="264"/>
      <c r="H113" s="263">
        <v>33.659999999999997</v>
      </c>
      <c r="I113" s="264">
        <v>6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1020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1020</v>
      </c>
      <c r="D115" s="263"/>
      <c r="E115" s="264"/>
      <c r="F115" s="583"/>
      <c r="G115" s="264"/>
      <c r="H115" s="263">
        <v>42.74</v>
      </c>
      <c r="I115" s="264">
        <v>37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2" t="s">
        <v>1020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1020</v>
      </c>
      <c r="D117" s="263"/>
      <c r="E117" s="264"/>
      <c r="F117" s="583"/>
      <c r="G117" s="264"/>
      <c r="H117" s="263">
        <v>770.15</v>
      </c>
      <c r="I117" s="264">
        <v>1041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1020</v>
      </c>
      <c r="D118" s="263"/>
      <c r="E118" s="264"/>
      <c r="F118" s="583"/>
      <c r="G118" s="264"/>
      <c r="H118" s="263">
        <v>56.82</v>
      </c>
      <c r="I118" s="264">
        <v>63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1020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1020</v>
      </c>
      <c r="D120" s="263"/>
      <c r="E120" s="264"/>
      <c r="F120" s="583"/>
      <c r="G120" s="264"/>
      <c r="H120" s="263">
        <v>66.23</v>
      </c>
      <c r="I120" s="264">
        <v>81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6" t="s">
        <v>1020</v>
      </c>
      <c r="D121" s="263"/>
      <c r="E121" s="264"/>
      <c r="F121" s="583"/>
      <c r="G121" s="264"/>
      <c r="H121" s="263">
        <v>229.58</v>
      </c>
      <c r="I121" s="264">
        <v>329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1020</v>
      </c>
      <c r="D122" s="263"/>
      <c r="E122" s="264"/>
      <c r="F122" s="583"/>
      <c r="G122" s="264"/>
      <c r="H122" s="263">
        <v>33.659999999999997</v>
      </c>
      <c r="I122" s="264">
        <v>1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1020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49" customFormat="1" ht="26.25" x14ac:dyDescent="0.25">
      <c r="A124" s="260" t="s">
        <v>983</v>
      </c>
      <c r="B124" s="261" t="s">
        <v>981</v>
      </c>
      <c r="C124" s="262" t="s">
        <v>1020</v>
      </c>
      <c r="D124" s="263"/>
      <c r="E124" s="264"/>
      <c r="F124" s="583"/>
      <c r="G124" s="264"/>
      <c r="H124" s="263">
        <v>864.24</v>
      </c>
      <c r="I124" s="264">
        <v>1164</v>
      </c>
      <c r="J124" s="262"/>
      <c r="K124" s="265"/>
      <c r="L124" s="265"/>
    </row>
    <row r="125" spans="1:12" s="149" customFormat="1" x14ac:dyDescent="0.25">
      <c r="A125" s="260" t="s">
        <v>105</v>
      </c>
      <c r="B125" s="261" t="s">
        <v>196</v>
      </c>
      <c r="C125" s="262" t="s">
        <v>1020</v>
      </c>
      <c r="D125" s="263"/>
      <c r="E125" s="264"/>
      <c r="F125" s="583"/>
      <c r="G125" s="264"/>
      <c r="H125" s="263">
        <v>50.49</v>
      </c>
      <c r="I125" s="264">
        <v>4</v>
      </c>
      <c r="J125" s="262"/>
      <c r="K125" s="265"/>
      <c r="L125" s="265"/>
    </row>
    <row r="126" spans="1:12" s="149" customFormat="1" x14ac:dyDescent="0.25">
      <c r="A126" s="260" t="s">
        <v>68</v>
      </c>
      <c r="B126" s="261" t="s">
        <v>166</v>
      </c>
      <c r="C126" s="262" t="s">
        <v>1020</v>
      </c>
      <c r="D126" s="263"/>
      <c r="E126" s="264"/>
      <c r="F126" s="583"/>
      <c r="G126" s="264"/>
      <c r="H126" s="263">
        <v>41.67</v>
      </c>
      <c r="I126" s="264">
        <v>35</v>
      </c>
      <c r="J126" s="262"/>
      <c r="K126" s="265"/>
      <c r="L126" s="265"/>
    </row>
    <row r="127" spans="1:12" s="149" customFormat="1" x14ac:dyDescent="0.25">
      <c r="A127" s="260" t="s">
        <v>46</v>
      </c>
      <c r="B127" s="261" t="s">
        <v>193</v>
      </c>
      <c r="C127" s="262" t="s">
        <v>1020</v>
      </c>
      <c r="D127" s="263"/>
      <c r="E127" s="264"/>
      <c r="F127" s="583"/>
      <c r="G127" s="264"/>
      <c r="H127" s="263">
        <v>33.659999999999997</v>
      </c>
      <c r="I127" s="264">
        <v>16</v>
      </c>
      <c r="J127" s="262"/>
      <c r="K127" s="265"/>
      <c r="L127" s="265"/>
    </row>
    <row r="128" spans="1:12" s="149" customFormat="1" x14ac:dyDescent="0.25">
      <c r="A128" s="260" t="s">
        <v>17</v>
      </c>
      <c r="B128" s="261" t="s">
        <v>192</v>
      </c>
      <c r="C128" s="262" t="s">
        <v>1020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47</v>
      </c>
      <c r="B129" s="261" t="s">
        <v>139</v>
      </c>
      <c r="C129" s="262" t="s">
        <v>1024</v>
      </c>
      <c r="D129" s="263"/>
      <c r="E129" s="264"/>
      <c r="F129" s="583"/>
      <c r="G129" s="264"/>
      <c r="H129" s="263">
        <v>50.75</v>
      </c>
      <c r="I129" s="264">
        <v>52</v>
      </c>
      <c r="J129" s="262"/>
      <c r="K129" s="265"/>
      <c r="L129" s="265"/>
    </row>
    <row r="130" spans="1:12" s="184" customFormat="1" x14ac:dyDescent="0.25">
      <c r="A130" s="267" t="s">
        <v>64</v>
      </c>
      <c r="B130" s="268" t="s">
        <v>191</v>
      </c>
      <c r="C130" s="245"/>
      <c r="D130" s="269"/>
      <c r="E130" s="270"/>
      <c r="F130" s="544"/>
      <c r="G130" s="270"/>
      <c r="H130" s="269"/>
      <c r="I130" s="270"/>
      <c r="J130" s="245"/>
      <c r="K130" s="246"/>
      <c r="L130" s="246"/>
    </row>
    <row r="131" spans="1:12" s="149" customFormat="1" x14ac:dyDescent="0.25">
      <c r="A131" s="260" t="s">
        <v>130</v>
      </c>
      <c r="B131" s="261" t="s">
        <v>131</v>
      </c>
      <c r="C131" s="262" t="s">
        <v>1024</v>
      </c>
      <c r="D131" s="263"/>
      <c r="E131" s="264"/>
      <c r="F131" s="583"/>
      <c r="G131" s="264"/>
      <c r="H131" s="263">
        <v>1443.35</v>
      </c>
      <c r="I131" s="264">
        <v>1921</v>
      </c>
      <c r="J131" s="262"/>
      <c r="K131" s="265"/>
      <c r="L131" s="265"/>
    </row>
    <row r="132" spans="1:12" s="149" customFormat="1" x14ac:dyDescent="0.25">
      <c r="A132" s="260" t="s">
        <v>134</v>
      </c>
      <c r="B132" s="261" t="s">
        <v>133</v>
      </c>
      <c r="C132" s="262" t="s">
        <v>1024</v>
      </c>
      <c r="D132" s="263"/>
      <c r="E132" s="264"/>
      <c r="F132" s="583"/>
      <c r="G132" s="264"/>
      <c r="H132" s="263">
        <v>33.659999999999997</v>
      </c>
      <c r="I132" s="264">
        <v>19</v>
      </c>
      <c r="J132" s="262"/>
      <c r="K132" s="265"/>
      <c r="L132" s="265"/>
    </row>
    <row r="133" spans="1:12" s="149" customFormat="1" x14ac:dyDescent="0.25">
      <c r="A133" s="260" t="s">
        <v>543</v>
      </c>
      <c r="B133" s="261" t="s">
        <v>135</v>
      </c>
      <c r="C133" s="262" t="s">
        <v>1024</v>
      </c>
      <c r="D133" s="263"/>
      <c r="E133" s="264"/>
      <c r="F133" s="583"/>
      <c r="G133" s="264"/>
      <c r="H133" s="263">
        <v>1748.58</v>
      </c>
      <c r="I133" s="264">
        <v>2320</v>
      </c>
      <c r="J133" s="262"/>
      <c r="K133" s="265"/>
      <c r="L133" s="265"/>
    </row>
    <row r="134" spans="1:12" s="149" customFormat="1" x14ac:dyDescent="0.25">
      <c r="A134" s="260" t="s">
        <v>137</v>
      </c>
      <c r="B134" s="261" t="s">
        <v>138</v>
      </c>
      <c r="C134" s="262" t="s">
        <v>1024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140</v>
      </c>
      <c r="B135" s="261" t="s">
        <v>141</v>
      </c>
      <c r="C135" s="266" t="s">
        <v>1024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5"/>
      <c r="L135" s="265"/>
    </row>
    <row r="136" spans="1:12" s="149" customFormat="1" x14ac:dyDescent="0.25">
      <c r="A136" s="260" t="s">
        <v>142</v>
      </c>
      <c r="B136" s="261" t="s">
        <v>143</v>
      </c>
      <c r="C136" s="262" t="s">
        <v>1024</v>
      </c>
      <c r="D136" s="263"/>
      <c r="E136" s="264"/>
      <c r="F136" s="583"/>
      <c r="G136" s="264"/>
      <c r="H136" s="263">
        <v>33.659999999999997</v>
      </c>
      <c r="I136" s="264">
        <v>20</v>
      </c>
      <c r="J136" s="262"/>
      <c r="K136" s="265"/>
      <c r="L136" s="265"/>
    </row>
    <row r="137" spans="1:12" s="149" customFormat="1" x14ac:dyDescent="0.25">
      <c r="A137" s="260" t="s">
        <v>587</v>
      </c>
      <c r="B137" s="261" t="s">
        <v>145</v>
      </c>
      <c r="C137" s="262" t="s">
        <v>1024</v>
      </c>
      <c r="D137" s="263"/>
      <c r="E137" s="264"/>
      <c r="F137" s="583"/>
      <c r="G137" s="264"/>
      <c r="H137" s="263">
        <v>232.41</v>
      </c>
      <c r="I137" s="264">
        <v>333</v>
      </c>
      <c r="J137" s="262"/>
      <c r="K137" s="265"/>
      <c r="L137" s="265"/>
    </row>
    <row r="138" spans="1:12" s="149" customFormat="1" x14ac:dyDescent="0.25">
      <c r="A138" s="260" t="s">
        <v>588</v>
      </c>
      <c r="B138" s="261" t="s">
        <v>147</v>
      </c>
      <c r="C138" s="262" t="s">
        <v>1024</v>
      </c>
      <c r="D138" s="263"/>
      <c r="E138" s="264"/>
      <c r="F138" s="583"/>
      <c r="G138" s="264"/>
      <c r="H138" s="263">
        <v>187.87</v>
      </c>
      <c r="I138" s="264">
        <v>270</v>
      </c>
      <c r="J138" s="262"/>
      <c r="K138" s="265"/>
      <c r="L138" s="265"/>
    </row>
    <row r="139" spans="1:12" s="149" customFormat="1" x14ac:dyDescent="0.25">
      <c r="A139" s="260" t="s">
        <v>176</v>
      </c>
      <c r="B139" s="261" t="s">
        <v>165</v>
      </c>
      <c r="C139" s="262" t="s">
        <v>1004</v>
      </c>
      <c r="D139" s="263"/>
      <c r="E139" s="264"/>
      <c r="F139" s="583"/>
      <c r="G139" s="264"/>
      <c r="H139" s="263">
        <v>287.43</v>
      </c>
      <c r="I139" s="264">
        <v>410</v>
      </c>
      <c r="J139" s="262"/>
      <c r="K139" s="265"/>
      <c r="L139" s="265"/>
    </row>
    <row r="140" spans="1:12" s="199" customFormat="1" x14ac:dyDescent="0.25">
      <c r="A140" s="280" t="s">
        <v>433</v>
      </c>
      <c r="B140" s="281"/>
      <c r="C140" s="249"/>
      <c r="D140" s="250"/>
      <c r="E140" s="251"/>
      <c r="F140" s="543"/>
      <c r="G140" s="251"/>
      <c r="H140" s="250"/>
      <c r="I140" s="251"/>
      <c r="J140" s="249"/>
      <c r="K140" s="253"/>
      <c r="L140" s="253"/>
    </row>
    <row r="141" spans="1:12" s="149" customFormat="1" x14ac:dyDescent="0.25">
      <c r="A141" s="260" t="s">
        <v>107</v>
      </c>
      <c r="B141" s="261">
        <v>67</v>
      </c>
      <c r="C141" s="262" t="s">
        <v>1019</v>
      </c>
      <c r="D141" s="263"/>
      <c r="E141" s="264"/>
      <c r="F141" s="583"/>
      <c r="G141" s="264"/>
      <c r="H141" s="263">
        <v>50</v>
      </c>
      <c r="I141" s="264">
        <v>100</v>
      </c>
      <c r="J141" s="262"/>
      <c r="K141" s="265"/>
      <c r="L141" s="265"/>
    </row>
    <row r="142" spans="1:12" s="149" customFormat="1" x14ac:dyDescent="0.25">
      <c r="A142" s="260" t="s">
        <v>109</v>
      </c>
      <c r="B142" s="261">
        <v>95</v>
      </c>
      <c r="C142" s="262" t="s">
        <v>1019</v>
      </c>
      <c r="D142" s="263"/>
      <c r="E142" s="264"/>
      <c r="F142" s="583"/>
      <c r="G142" s="264"/>
      <c r="H142" s="263">
        <v>60</v>
      </c>
      <c r="I142" s="264">
        <v>400</v>
      </c>
      <c r="J142" s="262"/>
      <c r="K142" s="265"/>
      <c r="L142" s="265"/>
    </row>
    <row r="143" spans="1:12" s="199" customFormat="1" x14ac:dyDescent="0.25">
      <c r="A143" s="247" t="s">
        <v>432</v>
      </c>
      <c r="B143" s="248"/>
      <c r="C143" s="249"/>
      <c r="D143" s="250"/>
      <c r="E143" s="251"/>
      <c r="F143" s="543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156</v>
      </c>
      <c r="B144" s="291">
        <v>61</v>
      </c>
      <c r="C144" s="266">
        <v>42989</v>
      </c>
      <c r="D144" s="263"/>
      <c r="E144" s="264"/>
      <c r="F144" s="583"/>
      <c r="G144" s="264"/>
      <c r="H144" s="263">
        <v>35.18</v>
      </c>
      <c r="I144" s="264">
        <v>35</v>
      </c>
      <c r="J144" s="262"/>
      <c r="K144" s="265"/>
      <c r="L144" s="265"/>
    </row>
    <row r="145" spans="1:12" s="199" customFormat="1" x14ac:dyDescent="0.25">
      <c r="A145" s="280" t="s">
        <v>431</v>
      </c>
      <c r="B145" s="281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49" customFormat="1" ht="26.25" x14ac:dyDescent="0.25">
      <c r="A146" s="260" t="s">
        <v>40</v>
      </c>
      <c r="B146" s="261">
        <v>95</v>
      </c>
      <c r="C146" s="266" t="s">
        <v>1017</v>
      </c>
      <c r="D146" s="263"/>
      <c r="E146" s="264"/>
      <c r="F146" s="583"/>
      <c r="G146" s="264"/>
      <c r="H146" s="263">
        <v>20</v>
      </c>
      <c r="I146" s="264">
        <v>100</v>
      </c>
      <c r="J146" s="262"/>
      <c r="K146" s="265"/>
      <c r="L146" s="265"/>
    </row>
    <row r="147" spans="1:12" s="199" customFormat="1" ht="26.25" x14ac:dyDescent="0.25">
      <c r="A147" s="280" t="s">
        <v>430</v>
      </c>
      <c r="B147" s="302"/>
      <c r="C147" s="303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84" customFormat="1" x14ac:dyDescent="0.25">
      <c r="A148" s="267" t="s">
        <v>355</v>
      </c>
      <c r="B148" s="268" t="s">
        <v>356</v>
      </c>
      <c r="C148" s="289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84" customFormat="1" ht="46.5" customHeight="1" x14ac:dyDescent="0.25">
      <c r="A149" s="559"/>
      <c r="B149" s="559"/>
      <c r="C149" s="559"/>
      <c r="D149" s="574"/>
      <c r="E149" s="561"/>
      <c r="F149" s="562"/>
      <c r="G149" s="561"/>
      <c r="H149" s="574"/>
      <c r="I149" s="561"/>
      <c r="J149" s="560"/>
      <c r="K149" s="246"/>
      <c r="L149" s="246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20"/>
  <sheetViews>
    <sheetView workbookViewId="0">
      <selection activeCell="D27" sqref="D2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1022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25"/>
      <c r="B4" s="626"/>
      <c r="C4" s="626"/>
      <c r="D4" s="626"/>
      <c r="E4" s="626"/>
      <c r="F4" s="626"/>
      <c r="G4" s="62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1227197.8799999999</v>
      </c>
      <c r="D13" s="34"/>
      <c r="E13" s="35" t="s">
        <v>33</v>
      </c>
      <c r="F13" s="34"/>
      <c r="G13" s="42">
        <v>25026.04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1553</v>
      </c>
      <c r="D15" s="34"/>
      <c r="E15" s="35" t="s">
        <v>10</v>
      </c>
      <c r="F15" s="34"/>
      <c r="G15" s="42">
        <v>1255.96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149651</v>
      </c>
      <c r="D17" s="34"/>
      <c r="E17" s="35" t="s">
        <v>278</v>
      </c>
      <c r="F17" s="34"/>
      <c r="G17" s="42">
        <v>10744.34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1" sqref="E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51"/>
      <c r="B4" s="1052"/>
      <c r="C4" s="1052"/>
      <c r="D4" s="1052"/>
      <c r="E4" s="1052"/>
      <c r="F4" s="1052"/>
      <c r="G4" s="105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189832</v>
      </c>
      <c r="D13" s="34"/>
      <c r="E13" s="35" t="s">
        <v>33</v>
      </c>
      <c r="F13" s="34"/>
      <c r="G13" s="42">
        <v>21210.02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5365</v>
      </c>
      <c r="D15" s="34"/>
      <c r="E15" s="35" t="s">
        <v>10</v>
      </c>
      <c r="F15" s="34"/>
      <c r="G15" s="42">
        <v>5801.08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5333</v>
      </c>
      <c r="D17" s="34"/>
      <c r="E17" s="35" t="s">
        <v>278</v>
      </c>
      <c r="F17" s="34"/>
      <c r="G17" s="42">
        <v>5050.6000000000004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259"/>
  <sheetViews>
    <sheetView zoomScaleNormal="100" workbookViewId="0">
      <pane ySplit="2" topLeftCell="A18" activePane="bottomLeft" state="frozen"/>
      <selection pane="bottomLeft" activeCell="K52" sqref="K52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331" customFormat="1" x14ac:dyDescent="0.25">
      <c r="A3" s="325" t="s">
        <v>339</v>
      </c>
      <c r="B3" s="326">
        <v>3038136345</v>
      </c>
      <c r="C3" s="327" t="s">
        <v>990</v>
      </c>
      <c r="D3" s="328"/>
      <c r="E3" s="329"/>
      <c r="F3" s="620">
        <v>387.45</v>
      </c>
      <c r="G3" s="329">
        <v>200</v>
      </c>
      <c r="H3" s="328"/>
      <c r="I3" s="329"/>
      <c r="J3" s="327" t="s">
        <v>10</v>
      </c>
      <c r="K3" s="330"/>
      <c r="L3" s="330"/>
    </row>
    <row r="4" spans="1:12" s="149" customFormat="1" x14ac:dyDescent="0.25">
      <c r="A4" s="260" t="s">
        <v>13</v>
      </c>
      <c r="B4" s="261">
        <v>3026210376</v>
      </c>
      <c r="C4" s="262" t="s">
        <v>990</v>
      </c>
      <c r="D4" s="263"/>
      <c r="E4" s="264"/>
      <c r="F4" s="583">
        <v>59.12</v>
      </c>
      <c r="G4" s="264">
        <v>17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988</v>
      </c>
      <c r="D5" s="257"/>
      <c r="E5" s="258"/>
      <c r="F5" s="586">
        <v>60.59</v>
      </c>
      <c r="G5" s="258">
        <v>19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988</v>
      </c>
      <c r="D6" s="263"/>
      <c r="E6" s="264"/>
      <c r="F6" s="583">
        <v>55.73</v>
      </c>
      <c r="G6" s="264">
        <v>12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985</v>
      </c>
      <c r="D7" s="263"/>
      <c r="E7" s="264"/>
      <c r="F7" s="583">
        <v>66.84</v>
      </c>
      <c r="G7" s="264">
        <v>12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985</v>
      </c>
      <c r="D8" s="263"/>
      <c r="E8" s="264"/>
      <c r="F8" s="583">
        <v>61.22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989</v>
      </c>
      <c r="D9" s="263"/>
      <c r="E9" s="264"/>
      <c r="F9" s="583">
        <v>86.21</v>
      </c>
      <c r="G9" s="264">
        <v>56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989</v>
      </c>
      <c r="D10" s="263"/>
      <c r="E10" s="264"/>
      <c r="F10" s="583">
        <v>61.98</v>
      </c>
      <c r="G10" s="264">
        <v>21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985</v>
      </c>
      <c r="D11" s="263"/>
      <c r="E11" s="264"/>
      <c r="F11" s="583">
        <v>59.34</v>
      </c>
      <c r="G11" s="264">
        <v>1076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985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990</v>
      </c>
      <c r="D13" s="263"/>
      <c r="E13" s="264"/>
      <c r="F13" s="583">
        <v>55.05</v>
      </c>
      <c r="G13" s="264">
        <v>11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990</v>
      </c>
      <c r="D14" s="263"/>
      <c r="E14" s="264"/>
      <c r="F14" s="583">
        <v>53.66</v>
      </c>
      <c r="G14" s="264">
        <v>9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990</v>
      </c>
      <c r="D15" s="263"/>
      <c r="E15" s="264"/>
      <c r="F15" s="583">
        <v>114.6</v>
      </c>
      <c r="G15" s="264">
        <v>97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995</v>
      </c>
      <c r="D16" s="263"/>
      <c r="E16" s="264"/>
      <c r="F16" s="583">
        <v>39.31</v>
      </c>
      <c r="G16" s="264">
        <v>20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995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996</v>
      </c>
      <c r="D19" s="572">
        <v>26.54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996</v>
      </c>
      <c r="D20" s="572">
        <v>174.13</v>
      </c>
      <c r="E20" s="564">
        <v>600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996</v>
      </c>
      <c r="D21" s="572">
        <v>691.33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996</v>
      </c>
      <c r="D22" s="572">
        <v>16.82</v>
      </c>
      <c r="E22" s="564">
        <v>41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996</v>
      </c>
      <c r="D23" s="572">
        <v>15.27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997</v>
      </c>
      <c r="D24" s="572">
        <v>123.15</v>
      </c>
      <c r="E24" s="564">
        <v>1703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997</v>
      </c>
      <c r="D25" s="572">
        <v>5563.04</v>
      </c>
      <c r="E25" s="564">
        <v>1023000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996</v>
      </c>
      <c r="D26" s="572">
        <v>349.3</v>
      </c>
      <c r="E26" s="564">
        <v>3798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997</v>
      </c>
      <c r="D27" s="572">
        <v>458.81</v>
      </c>
      <c r="E27" s="564">
        <v>1500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998</v>
      </c>
      <c r="D28" s="572">
        <v>537.27</v>
      </c>
      <c r="E28" s="564">
        <v>8320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996</v>
      </c>
      <c r="D29" s="572">
        <v>1090.9000000000001</v>
      </c>
      <c r="E29" s="564">
        <v>15080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998</v>
      </c>
      <c r="D30" s="572">
        <v>1032.96</v>
      </c>
      <c r="E30" s="564">
        <v>16245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996</v>
      </c>
      <c r="D31" s="572">
        <v>1474.43</v>
      </c>
      <c r="E31" s="564">
        <v>20340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996</v>
      </c>
      <c r="D32" s="572">
        <v>14.85</v>
      </c>
      <c r="E32" s="564">
        <v>9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996</v>
      </c>
      <c r="D33" s="572">
        <v>21.16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999</v>
      </c>
      <c r="D34" s="572">
        <v>21.17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1000</v>
      </c>
      <c r="D35" s="572">
        <v>170.83</v>
      </c>
      <c r="E35" s="564">
        <v>618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1000</v>
      </c>
      <c r="D36" s="572">
        <v>86.05</v>
      </c>
      <c r="E36" s="564">
        <v>1158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997</v>
      </c>
      <c r="D37" s="572">
        <v>474.25</v>
      </c>
      <c r="E37" s="564">
        <v>6869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998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1000</v>
      </c>
      <c r="D39" s="572">
        <v>21.94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999</v>
      </c>
      <c r="D40" s="572">
        <v>55</v>
      </c>
      <c r="E40" s="564">
        <v>656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984</v>
      </c>
      <c r="D41" s="572">
        <v>16.75</v>
      </c>
      <c r="E41" s="564">
        <v>40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996</v>
      </c>
      <c r="D42" s="572">
        <v>15.27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996</v>
      </c>
      <c r="D43" s="572">
        <v>18.309999999999999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997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1000</v>
      </c>
      <c r="D45" s="572">
        <v>183.02</v>
      </c>
      <c r="E45" s="564">
        <v>899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996</v>
      </c>
      <c r="D46" s="572">
        <v>318.67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996</v>
      </c>
      <c r="D47" s="572">
        <v>235.85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996</v>
      </c>
      <c r="D48" s="572">
        <v>1698.66</v>
      </c>
      <c r="E48" s="564">
        <v>23460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1000</v>
      </c>
      <c r="D49" s="572">
        <v>21.94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998</v>
      </c>
      <c r="D50" s="572">
        <v>26.49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999</v>
      </c>
      <c r="D51" s="572">
        <v>36.619999999999997</v>
      </c>
      <c r="E51" s="564">
        <v>312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1000</v>
      </c>
      <c r="D52" s="572">
        <v>81.34</v>
      </c>
      <c r="E52" s="564">
        <v>1082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996</v>
      </c>
      <c r="D53" s="572">
        <v>21.16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846</v>
      </c>
      <c r="B54" s="563">
        <v>5074402</v>
      </c>
      <c r="C54" s="563"/>
      <c r="D54" s="572"/>
      <c r="E54" s="564"/>
      <c r="F54" s="604"/>
      <c r="G54" s="564"/>
      <c r="H54" s="572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998</v>
      </c>
      <c r="D55" s="572">
        <v>39.229999999999997</v>
      </c>
      <c r="E55" s="564">
        <v>39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1001</v>
      </c>
      <c r="D56" s="572">
        <v>26.58</v>
      </c>
      <c r="E56" s="564">
        <v>198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984</v>
      </c>
      <c r="D57" s="572">
        <v>105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1000</v>
      </c>
      <c r="D58" s="572">
        <v>717.93</v>
      </c>
      <c r="E58" s="564">
        <v>9840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998</v>
      </c>
      <c r="D59" s="572">
        <v>277.05</v>
      </c>
      <c r="E59" s="564">
        <v>3064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1002</v>
      </c>
      <c r="D60" s="572">
        <v>22.67</v>
      </c>
      <c r="E60" s="564">
        <v>73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1000</v>
      </c>
      <c r="D61" s="572">
        <v>129.05000000000001</v>
      </c>
      <c r="E61" s="564">
        <v>1852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996</v>
      </c>
      <c r="D62" s="572">
        <v>641.58000000000004</v>
      </c>
      <c r="E62" s="564">
        <v>8052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996</v>
      </c>
      <c r="D63" s="572">
        <v>24.23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984</v>
      </c>
      <c r="D64" s="572">
        <v>14.29</v>
      </c>
      <c r="E64" s="564">
        <v>0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996</v>
      </c>
      <c r="D65" s="572">
        <v>999.45</v>
      </c>
      <c r="E65" s="564">
        <v>9600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997</v>
      </c>
      <c r="D66" s="572">
        <v>33.380000000000003</v>
      </c>
      <c r="E66" s="564">
        <v>308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997</v>
      </c>
      <c r="D67" s="572">
        <v>44.49</v>
      </c>
      <c r="E67" s="564">
        <v>487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991</v>
      </c>
      <c r="D69" s="263">
        <v>299</v>
      </c>
      <c r="E69" s="264">
        <v>2858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991</v>
      </c>
      <c r="D70" s="263">
        <v>167</v>
      </c>
      <c r="E70" s="264">
        <v>1239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991</v>
      </c>
      <c r="D71" s="263">
        <v>94</v>
      </c>
      <c r="E71" s="264">
        <v>468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991</v>
      </c>
      <c r="D72" s="263">
        <v>40</v>
      </c>
      <c r="E72" s="264">
        <v>102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991</v>
      </c>
      <c r="D73" s="263">
        <v>37</v>
      </c>
      <c r="E73" s="264">
        <v>74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991</v>
      </c>
      <c r="D74" s="263">
        <v>260</v>
      </c>
      <c r="E74" s="264">
        <v>2234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991</v>
      </c>
      <c r="D75" s="263">
        <v>144</v>
      </c>
      <c r="E75" s="264">
        <v>1302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991</v>
      </c>
      <c r="D76" s="263">
        <v>54</v>
      </c>
      <c r="E76" s="264">
        <v>254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991</v>
      </c>
      <c r="D77" s="263">
        <v>77</v>
      </c>
      <c r="E77" s="264">
        <v>284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991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991</v>
      </c>
      <c r="D79" s="263">
        <v>31</v>
      </c>
      <c r="E79" s="264">
        <v>2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991</v>
      </c>
      <c r="D80" s="263">
        <v>84.26</v>
      </c>
      <c r="E80" s="264">
        <v>365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991</v>
      </c>
      <c r="D81" s="257">
        <v>207</v>
      </c>
      <c r="E81" s="258">
        <v>1710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991</v>
      </c>
      <c r="D82" s="263">
        <v>1179</v>
      </c>
      <c r="E82" s="264">
        <v>12480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991</v>
      </c>
      <c r="D83" s="263">
        <v>42</v>
      </c>
      <c r="E83" s="264">
        <v>36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991</v>
      </c>
      <c r="D84" s="591">
        <v>57</v>
      </c>
      <c r="E84" s="264">
        <v>12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991</v>
      </c>
      <c r="D85" s="591">
        <v>30</v>
      </c>
      <c r="E85" s="264">
        <v>0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991</v>
      </c>
      <c r="D86" s="591">
        <v>163</v>
      </c>
      <c r="E86" s="264">
        <v>1325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991</v>
      </c>
      <c r="D87" s="263">
        <v>339</v>
      </c>
      <c r="E87" s="264">
        <v>2100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991</v>
      </c>
      <c r="D88" s="263">
        <v>228</v>
      </c>
      <c r="E88" s="264">
        <v>2160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991</v>
      </c>
      <c r="D89" s="349">
        <v>276</v>
      </c>
      <c r="E89" s="350">
        <v>10.88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991</v>
      </c>
      <c r="D90" s="263">
        <v>143</v>
      </c>
      <c r="E90" s="264">
        <v>523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991</v>
      </c>
      <c r="D91" s="263">
        <v>116</v>
      </c>
      <c r="E91" s="264">
        <v>693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991</v>
      </c>
      <c r="D92" s="263">
        <v>125</v>
      </c>
      <c r="E92" s="264">
        <v>806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991</v>
      </c>
      <c r="D93" s="263">
        <v>84</v>
      </c>
      <c r="E93" s="264">
        <v>572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991</v>
      </c>
      <c r="D94" s="263">
        <v>1770</v>
      </c>
      <c r="E94" s="264">
        <v>21600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991</v>
      </c>
      <c r="D95" s="263">
        <v>179</v>
      </c>
      <c r="E95" s="264">
        <v>1373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991</v>
      </c>
      <c r="D96" s="263">
        <v>474</v>
      </c>
      <c r="E96" s="264">
        <v>4080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991</v>
      </c>
      <c r="D98" s="263"/>
      <c r="E98" s="264"/>
      <c r="F98" s="583"/>
      <c r="G98" s="264"/>
      <c r="H98" s="263">
        <v>353.22</v>
      </c>
      <c r="I98" s="264">
        <v>496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991</v>
      </c>
      <c r="D99" s="263"/>
      <c r="E99" s="264"/>
      <c r="F99" s="583"/>
      <c r="G99" s="264"/>
      <c r="H99" s="263">
        <v>221.1</v>
      </c>
      <c r="I99" s="264">
        <v>317</v>
      </c>
      <c r="J99" s="262"/>
      <c r="K99" s="265"/>
      <c r="L99" s="265"/>
    </row>
    <row r="100" spans="1:12" s="149" customFormat="1" x14ac:dyDescent="0.25">
      <c r="A100" s="260" t="s">
        <v>994</v>
      </c>
      <c r="B100" s="261" t="s">
        <v>992</v>
      </c>
      <c r="C100" s="262" t="s">
        <v>993</v>
      </c>
      <c r="D100" s="263"/>
      <c r="E100" s="264"/>
      <c r="F100" s="583"/>
      <c r="G100" s="264"/>
      <c r="H100" s="263">
        <v>46.31</v>
      </c>
      <c r="I100" s="264">
        <v>41</v>
      </c>
      <c r="J100" s="262"/>
      <c r="K100" s="265"/>
      <c r="L100" s="265"/>
    </row>
    <row r="101" spans="1:12" s="149" customFormat="1" x14ac:dyDescent="0.25">
      <c r="A101" s="260" t="s">
        <v>71</v>
      </c>
      <c r="B101" s="261" t="s">
        <v>188</v>
      </c>
      <c r="C101" s="262" t="s">
        <v>991</v>
      </c>
      <c r="D101" s="263"/>
      <c r="E101" s="264"/>
      <c r="F101" s="583"/>
      <c r="G101" s="264"/>
      <c r="H101" s="263">
        <v>33.659999999999997</v>
      </c>
      <c r="I101" s="264">
        <v>16</v>
      </c>
      <c r="J101" s="262"/>
      <c r="K101" s="265"/>
      <c r="L101" s="265"/>
    </row>
    <row r="102" spans="1:12" s="149" customFormat="1" x14ac:dyDescent="0.25">
      <c r="A102" s="260" t="s">
        <v>72</v>
      </c>
      <c r="B102" s="261" t="s">
        <v>187</v>
      </c>
      <c r="C102" s="262" t="s">
        <v>991</v>
      </c>
      <c r="D102" s="263"/>
      <c r="E102" s="264"/>
      <c r="F102" s="583"/>
      <c r="G102" s="264"/>
      <c r="H102" s="263">
        <v>33.659999999999997</v>
      </c>
      <c r="I102" s="264">
        <v>3</v>
      </c>
      <c r="J102" s="262"/>
      <c r="K102" s="265"/>
      <c r="L102" s="265"/>
    </row>
    <row r="103" spans="1:12" s="149" customFormat="1" x14ac:dyDescent="0.25">
      <c r="A103" s="260" t="s">
        <v>73</v>
      </c>
      <c r="B103" s="261" t="s">
        <v>171</v>
      </c>
      <c r="C103" s="262" t="s">
        <v>991</v>
      </c>
      <c r="D103" s="263"/>
      <c r="E103" s="264"/>
      <c r="F103" s="583"/>
      <c r="G103" s="264"/>
      <c r="H103" s="263">
        <v>45.41</v>
      </c>
      <c r="I103" s="264">
        <v>42</v>
      </c>
      <c r="J103" s="262"/>
      <c r="K103" s="265"/>
      <c r="L103" s="265"/>
    </row>
    <row r="104" spans="1:12" s="149" customFormat="1" x14ac:dyDescent="0.25">
      <c r="A104" s="260" t="s">
        <v>74</v>
      </c>
      <c r="B104" s="261" t="s">
        <v>170</v>
      </c>
      <c r="C104" s="262" t="s">
        <v>991</v>
      </c>
      <c r="D104" s="263"/>
      <c r="E104" s="264"/>
      <c r="F104" s="583"/>
      <c r="G104" s="264"/>
      <c r="H104" s="263">
        <v>33.659999999999997</v>
      </c>
      <c r="I104" s="264">
        <v>10</v>
      </c>
      <c r="J104" s="262"/>
      <c r="K104" s="265"/>
      <c r="L104" s="265"/>
    </row>
    <row r="105" spans="1:12" s="149" customFormat="1" x14ac:dyDescent="0.25">
      <c r="A105" s="260" t="s">
        <v>75</v>
      </c>
      <c r="B105" s="261" t="s">
        <v>189</v>
      </c>
      <c r="C105" s="262" t="s">
        <v>991</v>
      </c>
      <c r="D105" s="263"/>
      <c r="E105" s="264"/>
      <c r="F105" s="583"/>
      <c r="G105" s="264"/>
      <c r="H105" s="263">
        <v>48.61</v>
      </c>
      <c r="I105" s="264">
        <v>48</v>
      </c>
      <c r="J105" s="262"/>
      <c r="K105" s="265"/>
      <c r="L105" s="265"/>
    </row>
    <row r="106" spans="1:12" s="149" customFormat="1" x14ac:dyDescent="0.25">
      <c r="A106" s="260" t="s">
        <v>76</v>
      </c>
      <c r="B106" s="261" t="s">
        <v>169</v>
      </c>
      <c r="C106" s="262" t="s">
        <v>991</v>
      </c>
      <c r="D106" s="263"/>
      <c r="E106" s="264"/>
      <c r="F106" s="583"/>
      <c r="G106" s="264"/>
      <c r="H106" s="263">
        <v>33.659999999999997</v>
      </c>
      <c r="I106" s="264">
        <v>17</v>
      </c>
      <c r="J106" s="262"/>
      <c r="K106" s="265"/>
      <c r="L106" s="265"/>
    </row>
    <row r="107" spans="1:12" s="149" customFormat="1" x14ac:dyDescent="0.25">
      <c r="A107" s="260" t="s">
        <v>77</v>
      </c>
      <c r="B107" s="261" t="s">
        <v>168</v>
      </c>
      <c r="C107" s="262" t="s">
        <v>991</v>
      </c>
      <c r="D107" s="263"/>
      <c r="E107" s="264"/>
      <c r="F107" s="583"/>
      <c r="G107" s="264"/>
      <c r="H107" s="263">
        <v>193.53</v>
      </c>
      <c r="I107" s="264">
        <v>278</v>
      </c>
      <c r="J107" s="262"/>
      <c r="K107" s="265"/>
      <c r="L107" s="265"/>
    </row>
    <row r="108" spans="1:12" s="149" customFormat="1" x14ac:dyDescent="0.25">
      <c r="A108" s="260" t="s">
        <v>78</v>
      </c>
      <c r="B108" s="261" t="s">
        <v>197</v>
      </c>
      <c r="C108" s="262" t="s">
        <v>991</v>
      </c>
      <c r="D108" s="263"/>
      <c r="E108" s="264"/>
      <c r="F108" s="583"/>
      <c r="G108" s="264"/>
      <c r="H108" s="263">
        <v>33.659999999999997</v>
      </c>
      <c r="I108" s="264">
        <v>13</v>
      </c>
      <c r="J108" s="262"/>
      <c r="K108" s="265"/>
      <c r="L108" s="265"/>
    </row>
    <row r="109" spans="1:12" s="149" customFormat="1" x14ac:dyDescent="0.25">
      <c r="A109" s="260" t="s">
        <v>79</v>
      </c>
      <c r="B109" s="261" t="s">
        <v>167</v>
      </c>
      <c r="C109" s="266" t="s">
        <v>991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83" t="s">
        <v>80</v>
      </c>
      <c r="B110" s="284" t="s">
        <v>177</v>
      </c>
      <c r="C110" s="285" t="s">
        <v>991</v>
      </c>
      <c r="D110" s="286"/>
      <c r="E110" s="287"/>
      <c r="F110" s="594"/>
      <c r="G110" s="287"/>
      <c r="H110" s="286">
        <v>33.659999999999997</v>
      </c>
      <c r="I110" s="287">
        <v>0</v>
      </c>
      <c r="J110" s="288"/>
      <c r="K110" s="265"/>
      <c r="L110" s="265"/>
    </row>
    <row r="111" spans="1:12" s="149" customFormat="1" x14ac:dyDescent="0.25">
      <c r="A111" s="260" t="s">
        <v>81</v>
      </c>
      <c r="B111" s="261" t="s">
        <v>180</v>
      </c>
      <c r="C111" s="262" t="s">
        <v>991</v>
      </c>
      <c r="D111" s="263"/>
      <c r="E111" s="264"/>
      <c r="F111" s="583"/>
      <c r="G111" s="264"/>
      <c r="H111" s="263">
        <v>33.659999999999997</v>
      </c>
      <c r="I111" s="264">
        <v>0</v>
      </c>
      <c r="J111" s="262"/>
      <c r="K111" s="265"/>
      <c r="L111" s="265"/>
    </row>
    <row r="112" spans="1:12" s="149" customFormat="1" x14ac:dyDescent="0.25">
      <c r="A112" s="260" t="s">
        <v>82</v>
      </c>
      <c r="B112" s="261" t="s">
        <v>179</v>
      </c>
      <c r="C112" s="262" t="s">
        <v>991</v>
      </c>
      <c r="D112" s="263"/>
      <c r="E112" s="264"/>
      <c r="F112" s="583"/>
      <c r="G112" s="264"/>
      <c r="H112" s="263">
        <v>35.799999999999997</v>
      </c>
      <c r="I112" s="264">
        <v>24</v>
      </c>
      <c r="J112" s="262"/>
      <c r="K112" s="265"/>
      <c r="L112" s="265"/>
    </row>
    <row r="113" spans="1:12" s="149" customFormat="1" x14ac:dyDescent="0.25">
      <c r="A113" s="260" t="s">
        <v>83</v>
      </c>
      <c r="B113" s="261" t="s">
        <v>178</v>
      </c>
      <c r="C113" s="262" t="s">
        <v>991</v>
      </c>
      <c r="D113" s="263"/>
      <c r="E113" s="264"/>
      <c r="F113" s="583"/>
      <c r="G113" s="264"/>
      <c r="H113" s="263">
        <v>174.44</v>
      </c>
      <c r="I113" s="264">
        <v>251</v>
      </c>
      <c r="J113" s="262"/>
      <c r="K113" s="265"/>
      <c r="L113" s="265"/>
    </row>
    <row r="114" spans="1:12" s="149" customFormat="1" x14ac:dyDescent="0.25">
      <c r="A114" s="260" t="s">
        <v>84</v>
      </c>
      <c r="B114" s="261" t="s">
        <v>175</v>
      </c>
      <c r="C114" s="262" t="s">
        <v>991</v>
      </c>
      <c r="D114" s="263"/>
      <c r="E114" s="264"/>
      <c r="F114" s="583"/>
      <c r="G114" s="264"/>
      <c r="H114" s="263">
        <v>33.659999999999997</v>
      </c>
      <c r="I114" s="264">
        <v>5</v>
      </c>
      <c r="J114" s="262"/>
      <c r="K114" s="265"/>
      <c r="L114" s="265"/>
    </row>
    <row r="115" spans="1:12" s="149" customFormat="1" x14ac:dyDescent="0.25">
      <c r="A115" s="260" t="s">
        <v>85</v>
      </c>
      <c r="B115" s="261" t="s">
        <v>184</v>
      </c>
      <c r="C115" s="262" t="s">
        <v>991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5"/>
      <c r="L115" s="265"/>
    </row>
    <row r="116" spans="1:12" s="149" customFormat="1" x14ac:dyDescent="0.25">
      <c r="A116" s="260" t="s">
        <v>86</v>
      </c>
      <c r="B116" s="261" t="s">
        <v>185</v>
      </c>
      <c r="C116" s="262" t="s">
        <v>991</v>
      </c>
      <c r="D116" s="263"/>
      <c r="E116" s="264"/>
      <c r="F116" s="583"/>
      <c r="G116" s="264"/>
      <c r="H116" s="263">
        <v>33.659999999999997</v>
      </c>
      <c r="I116" s="264">
        <v>1</v>
      </c>
      <c r="J116" s="262"/>
      <c r="K116" s="265"/>
      <c r="L116" s="265"/>
    </row>
    <row r="117" spans="1:12" s="149" customFormat="1" x14ac:dyDescent="0.25">
      <c r="A117" s="260" t="s">
        <v>87</v>
      </c>
      <c r="B117" s="261" t="s">
        <v>181</v>
      </c>
      <c r="C117" s="262" t="s">
        <v>991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5"/>
      <c r="L117" s="265"/>
    </row>
    <row r="118" spans="1:12" s="149" customFormat="1" x14ac:dyDescent="0.25">
      <c r="A118" s="260" t="s">
        <v>88</v>
      </c>
      <c r="B118" s="261" t="s">
        <v>172</v>
      </c>
      <c r="C118" s="262" t="s">
        <v>991</v>
      </c>
      <c r="D118" s="263"/>
      <c r="E118" s="264"/>
      <c r="F118" s="583"/>
      <c r="G118" s="264"/>
      <c r="H118" s="263">
        <v>1188.5999999999999</v>
      </c>
      <c r="I118" s="264">
        <v>1588</v>
      </c>
      <c r="J118" s="262"/>
      <c r="K118" s="265"/>
      <c r="L118" s="265"/>
    </row>
    <row r="119" spans="1:12" s="149" customFormat="1" x14ac:dyDescent="0.25">
      <c r="A119" s="260" t="s">
        <v>89</v>
      </c>
      <c r="B119" s="261" t="s">
        <v>173</v>
      </c>
      <c r="C119" s="262" t="s">
        <v>991</v>
      </c>
      <c r="D119" s="263"/>
      <c r="E119" s="264"/>
      <c r="F119" s="583"/>
      <c r="G119" s="264"/>
      <c r="H119" s="263">
        <v>182.92</v>
      </c>
      <c r="I119" s="264">
        <v>263</v>
      </c>
      <c r="J119" s="262"/>
      <c r="K119" s="265"/>
      <c r="L119" s="265"/>
    </row>
    <row r="120" spans="1:12" s="149" customFormat="1" x14ac:dyDescent="0.25">
      <c r="A120" s="260" t="s">
        <v>90</v>
      </c>
      <c r="B120" s="261" t="s">
        <v>174</v>
      </c>
      <c r="C120" s="262" t="s">
        <v>991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91</v>
      </c>
      <c r="B121" s="261" t="s">
        <v>182</v>
      </c>
      <c r="C121" s="262" t="s">
        <v>991</v>
      </c>
      <c r="D121" s="263"/>
      <c r="E121" s="264"/>
      <c r="F121" s="583"/>
      <c r="G121" s="264"/>
      <c r="H121" s="263">
        <v>111.43</v>
      </c>
      <c r="I121" s="264">
        <v>154</v>
      </c>
      <c r="J121" s="262"/>
      <c r="K121" s="265"/>
      <c r="L121" s="265"/>
    </row>
    <row r="122" spans="1:12" s="149" customFormat="1" x14ac:dyDescent="0.25">
      <c r="A122" s="260" t="s">
        <v>92</v>
      </c>
      <c r="B122" s="261" t="s">
        <v>186</v>
      </c>
      <c r="C122" s="262" t="s">
        <v>991</v>
      </c>
      <c r="D122" s="263"/>
      <c r="E122" s="264"/>
      <c r="F122" s="583"/>
      <c r="G122" s="264"/>
      <c r="H122" s="263">
        <v>33.659999999999997</v>
      </c>
      <c r="I122" s="264">
        <v>2</v>
      </c>
      <c r="J122" s="262"/>
      <c r="K122" s="265"/>
      <c r="L122" s="265"/>
    </row>
    <row r="123" spans="1:12" s="149" customFormat="1" x14ac:dyDescent="0.25">
      <c r="A123" s="260" t="s">
        <v>93</v>
      </c>
      <c r="B123" s="261" t="s">
        <v>183</v>
      </c>
      <c r="C123" s="262" t="s">
        <v>991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103</v>
      </c>
      <c r="B124" s="261" t="s">
        <v>194</v>
      </c>
      <c r="C124" s="262" t="s">
        <v>991</v>
      </c>
      <c r="D124" s="263"/>
      <c r="E124" s="264"/>
      <c r="F124" s="583"/>
      <c r="G124" s="264"/>
      <c r="H124" s="263">
        <v>33.659999999999997</v>
      </c>
      <c r="I124" s="264">
        <v>4</v>
      </c>
      <c r="J124" s="262"/>
      <c r="K124" s="265"/>
      <c r="L124" s="265"/>
    </row>
    <row r="125" spans="1:12" s="149" customFormat="1" ht="26.25" x14ac:dyDescent="0.25">
      <c r="A125" s="260" t="s">
        <v>983</v>
      </c>
      <c r="B125" s="261" t="s">
        <v>981</v>
      </c>
      <c r="C125" s="262" t="s">
        <v>991</v>
      </c>
      <c r="D125" s="263"/>
      <c r="E125" s="264"/>
      <c r="F125" s="583"/>
      <c r="G125" s="264"/>
      <c r="H125" s="263">
        <v>1443.35</v>
      </c>
      <c r="I125" s="264">
        <v>1921</v>
      </c>
      <c r="J125" s="262"/>
      <c r="K125" s="265"/>
      <c r="L125" s="265"/>
    </row>
    <row r="126" spans="1:12" s="149" customFormat="1" x14ac:dyDescent="0.25">
      <c r="A126" s="260" t="s">
        <v>980</v>
      </c>
      <c r="B126" s="261" t="s">
        <v>981</v>
      </c>
      <c r="C126" s="262" t="s">
        <v>991</v>
      </c>
      <c r="D126" s="263"/>
      <c r="E126" s="264"/>
      <c r="F126" s="583"/>
      <c r="G126" s="264"/>
      <c r="H126" s="263">
        <v>50.49</v>
      </c>
      <c r="I126" s="264">
        <v>3</v>
      </c>
      <c r="J126" s="262"/>
      <c r="K126" s="265"/>
      <c r="L126" s="265"/>
    </row>
    <row r="127" spans="1:12" s="149" customFormat="1" x14ac:dyDescent="0.25">
      <c r="A127" s="260" t="s">
        <v>105</v>
      </c>
      <c r="B127" s="261" t="s">
        <v>196</v>
      </c>
      <c r="C127" s="262" t="s">
        <v>991</v>
      </c>
      <c r="D127" s="263"/>
      <c r="E127" s="264"/>
      <c r="F127" s="583"/>
      <c r="G127" s="264"/>
      <c r="H127" s="263">
        <v>1443.35</v>
      </c>
      <c r="I127" s="264">
        <v>1921</v>
      </c>
      <c r="J127" s="262"/>
      <c r="K127" s="265"/>
      <c r="L127" s="265"/>
    </row>
    <row r="128" spans="1:12" s="149" customFormat="1" x14ac:dyDescent="0.25">
      <c r="A128" s="260" t="s">
        <v>68</v>
      </c>
      <c r="B128" s="261" t="s">
        <v>166</v>
      </c>
      <c r="C128" s="262" t="s">
        <v>991</v>
      </c>
      <c r="D128" s="263"/>
      <c r="E128" s="264"/>
      <c r="F128" s="583"/>
      <c r="G128" s="264"/>
      <c r="H128" s="263">
        <v>41.14</v>
      </c>
      <c r="I128" s="264">
        <v>34</v>
      </c>
      <c r="J128" s="262"/>
      <c r="K128" s="265"/>
      <c r="L128" s="265"/>
    </row>
    <row r="129" spans="1:12" s="149" customFormat="1" x14ac:dyDescent="0.25">
      <c r="A129" s="260" t="s">
        <v>46</v>
      </c>
      <c r="B129" s="261" t="s">
        <v>193</v>
      </c>
      <c r="C129" s="262" t="s">
        <v>991</v>
      </c>
      <c r="D129" s="263"/>
      <c r="E129" s="264"/>
      <c r="F129" s="583"/>
      <c r="G129" s="264"/>
      <c r="H129" s="263">
        <v>33.659999999999997</v>
      </c>
      <c r="I129" s="264">
        <v>16</v>
      </c>
      <c r="J129" s="262"/>
      <c r="K129" s="265"/>
      <c r="L129" s="265"/>
    </row>
    <row r="130" spans="1:12" s="149" customFormat="1" x14ac:dyDescent="0.25">
      <c r="A130" s="260" t="s">
        <v>17</v>
      </c>
      <c r="B130" s="261" t="s">
        <v>192</v>
      </c>
      <c r="C130" s="262" t="s">
        <v>991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5"/>
      <c r="L130" s="265"/>
    </row>
    <row r="131" spans="1:12" s="149" customFormat="1" x14ac:dyDescent="0.25">
      <c r="A131" s="260" t="s">
        <v>47</v>
      </c>
      <c r="B131" s="261" t="s">
        <v>139</v>
      </c>
      <c r="C131" s="262" t="s">
        <v>1004</v>
      </c>
      <c r="D131" s="263"/>
      <c r="E131" s="264"/>
      <c r="F131" s="583"/>
      <c r="G131" s="264"/>
      <c r="H131" s="263">
        <v>33.659999999999997</v>
      </c>
      <c r="I131" s="264">
        <v>20</v>
      </c>
      <c r="J131" s="262"/>
      <c r="K131" s="265"/>
      <c r="L131" s="265"/>
    </row>
    <row r="132" spans="1:12" s="149" customFormat="1" x14ac:dyDescent="0.25">
      <c r="A132" s="260" t="s">
        <v>64</v>
      </c>
      <c r="B132" s="261" t="s">
        <v>191</v>
      </c>
      <c r="C132" s="262" t="s">
        <v>991</v>
      </c>
      <c r="D132" s="263"/>
      <c r="E132" s="264"/>
      <c r="F132" s="583"/>
      <c r="G132" s="264"/>
      <c r="H132" s="263">
        <v>114.67</v>
      </c>
      <c r="I132" s="264">
        <v>159</v>
      </c>
      <c r="J132" s="262"/>
      <c r="K132" s="265"/>
      <c r="L132" s="265"/>
    </row>
    <row r="133" spans="1:12" s="149" customFormat="1" x14ac:dyDescent="0.25">
      <c r="A133" s="260" t="s">
        <v>130</v>
      </c>
      <c r="B133" s="261" t="s">
        <v>131</v>
      </c>
      <c r="C133" s="262" t="s">
        <v>1004</v>
      </c>
      <c r="D133" s="263"/>
      <c r="E133" s="264"/>
      <c r="F133" s="583"/>
      <c r="G133" s="264"/>
      <c r="H133" s="263">
        <v>1433.4</v>
      </c>
      <c r="I133" s="264">
        <v>1908</v>
      </c>
      <c r="J133" s="262"/>
      <c r="K133" s="265"/>
      <c r="L133" s="265"/>
    </row>
    <row r="134" spans="1:12" s="149" customFormat="1" x14ac:dyDescent="0.25">
      <c r="A134" s="260" t="s">
        <v>134</v>
      </c>
      <c r="B134" s="261" t="s">
        <v>133</v>
      </c>
      <c r="C134" s="262" t="s">
        <v>1004</v>
      </c>
      <c r="D134" s="263"/>
      <c r="E134" s="264"/>
      <c r="F134" s="583"/>
      <c r="G134" s="264"/>
      <c r="H134" s="263">
        <v>33.659999999999997</v>
      </c>
      <c r="I134" s="264">
        <v>20</v>
      </c>
      <c r="J134" s="262"/>
      <c r="K134" s="265"/>
      <c r="L134" s="265"/>
    </row>
    <row r="135" spans="1:12" s="149" customFormat="1" x14ac:dyDescent="0.25">
      <c r="A135" s="260" t="s">
        <v>543</v>
      </c>
      <c r="B135" s="261" t="s">
        <v>135</v>
      </c>
      <c r="C135" s="262" t="s">
        <v>1004</v>
      </c>
      <c r="D135" s="263"/>
      <c r="E135" s="264"/>
      <c r="F135" s="583"/>
      <c r="G135" s="264"/>
      <c r="H135" s="263">
        <v>1747.82</v>
      </c>
      <c r="I135" s="264">
        <v>2319</v>
      </c>
      <c r="J135" s="262"/>
      <c r="K135" s="265"/>
      <c r="L135" s="265"/>
    </row>
    <row r="136" spans="1:12" s="149" customFormat="1" x14ac:dyDescent="0.25">
      <c r="A136" s="260" t="s">
        <v>137</v>
      </c>
      <c r="B136" s="261" t="s">
        <v>138</v>
      </c>
      <c r="C136" s="262" t="s">
        <v>1004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5"/>
      <c r="L136" s="265"/>
    </row>
    <row r="137" spans="1:12" s="149" customFormat="1" x14ac:dyDescent="0.25">
      <c r="A137" s="260" t="s">
        <v>140</v>
      </c>
      <c r="B137" s="261" t="s">
        <v>141</v>
      </c>
      <c r="C137" s="266" t="s">
        <v>1004</v>
      </c>
      <c r="D137" s="263"/>
      <c r="E137" s="264"/>
      <c r="F137" s="583"/>
      <c r="G137" s="264"/>
      <c r="H137" s="263">
        <v>33.659999999999997</v>
      </c>
      <c r="I137" s="264">
        <v>0</v>
      </c>
      <c r="J137" s="262"/>
      <c r="K137" s="265"/>
      <c r="L137" s="265"/>
    </row>
    <row r="138" spans="1:12" s="149" customFormat="1" x14ac:dyDescent="0.25">
      <c r="A138" s="260" t="s">
        <v>1005</v>
      </c>
      <c r="B138" s="261" t="s">
        <v>143</v>
      </c>
      <c r="C138" s="262" t="s">
        <v>1004</v>
      </c>
      <c r="D138" s="263"/>
      <c r="E138" s="264"/>
      <c r="F138" s="583"/>
      <c r="G138" s="264"/>
      <c r="H138" s="263">
        <v>33.659999999999997</v>
      </c>
      <c r="I138" s="264">
        <v>16</v>
      </c>
      <c r="J138" s="262"/>
      <c r="K138" s="265"/>
      <c r="L138" s="265"/>
    </row>
    <row r="139" spans="1:12" s="149" customFormat="1" x14ac:dyDescent="0.25">
      <c r="A139" s="260" t="s">
        <v>587</v>
      </c>
      <c r="B139" s="261" t="s">
        <v>145</v>
      </c>
      <c r="C139" s="262" t="s">
        <v>1004</v>
      </c>
      <c r="D139" s="263"/>
      <c r="E139" s="264"/>
      <c r="F139" s="583"/>
      <c r="G139" s="264"/>
      <c r="H139" s="263">
        <v>305.79000000000002</v>
      </c>
      <c r="I139" s="264">
        <v>434</v>
      </c>
      <c r="J139" s="262"/>
      <c r="K139" s="265"/>
      <c r="L139" s="265"/>
    </row>
    <row r="140" spans="1:12" s="149" customFormat="1" x14ac:dyDescent="0.25">
      <c r="A140" s="260" t="s">
        <v>588</v>
      </c>
      <c r="B140" s="261" t="s">
        <v>147</v>
      </c>
      <c r="C140" s="262" t="s">
        <v>1004</v>
      </c>
      <c r="D140" s="263"/>
      <c r="E140" s="264"/>
      <c r="F140" s="583"/>
      <c r="G140" s="264"/>
      <c r="H140" s="263">
        <v>272</v>
      </c>
      <c r="I140" s="264">
        <v>389</v>
      </c>
      <c r="J140" s="262"/>
      <c r="K140" s="265"/>
      <c r="L140" s="265"/>
    </row>
    <row r="141" spans="1:12" s="149" customFormat="1" x14ac:dyDescent="0.25">
      <c r="A141" s="260" t="s">
        <v>176</v>
      </c>
      <c r="B141" s="261" t="s">
        <v>165</v>
      </c>
      <c r="C141" s="266" t="s">
        <v>984</v>
      </c>
      <c r="D141" s="263"/>
      <c r="E141" s="264"/>
      <c r="F141" s="583"/>
      <c r="G141" s="264"/>
      <c r="H141" s="263">
        <v>331.8</v>
      </c>
      <c r="I141" s="264">
        <v>468</v>
      </c>
      <c r="J141" s="262"/>
      <c r="K141" s="265"/>
      <c r="L141" s="265"/>
    </row>
    <row r="142" spans="1:12" s="199" customFormat="1" x14ac:dyDescent="0.25">
      <c r="A142" s="280" t="s">
        <v>433</v>
      </c>
      <c r="B142" s="281"/>
      <c r="C142" s="249"/>
      <c r="D142" s="250"/>
      <c r="E142" s="251"/>
      <c r="F142" s="543"/>
      <c r="G142" s="251"/>
      <c r="H142" s="250"/>
      <c r="I142" s="251"/>
      <c r="J142" s="249"/>
      <c r="K142" s="253"/>
      <c r="L142" s="253"/>
    </row>
    <row r="143" spans="1:12" s="149" customFormat="1" x14ac:dyDescent="0.25">
      <c r="A143" s="260" t="s">
        <v>107</v>
      </c>
      <c r="B143" s="261">
        <v>67</v>
      </c>
      <c r="C143" s="262" t="s">
        <v>991</v>
      </c>
      <c r="D143" s="263"/>
      <c r="E143" s="264"/>
      <c r="F143" s="583"/>
      <c r="G143" s="264"/>
      <c r="H143" s="263">
        <v>50</v>
      </c>
      <c r="I143" s="264">
        <v>0</v>
      </c>
      <c r="J143" s="262"/>
      <c r="K143" s="265"/>
      <c r="L143" s="265"/>
    </row>
    <row r="144" spans="1:12" s="149" customFormat="1" x14ac:dyDescent="0.25">
      <c r="A144" s="260" t="s">
        <v>109</v>
      </c>
      <c r="B144" s="261">
        <v>95</v>
      </c>
      <c r="C144" s="262" t="s">
        <v>991</v>
      </c>
      <c r="D144" s="263"/>
      <c r="E144" s="264"/>
      <c r="F144" s="583"/>
      <c r="G144" s="264"/>
      <c r="H144" s="263">
        <v>60</v>
      </c>
      <c r="I144" s="264">
        <v>500</v>
      </c>
      <c r="J144" s="262"/>
      <c r="K144" s="265"/>
      <c r="L144" s="265"/>
    </row>
    <row r="145" spans="1:12" s="199" customFormat="1" x14ac:dyDescent="0.25">
      <c r="A145" s="247" t="s">
        <v>432</v>
      </c>
      <c r="B145" s="248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84" customFormat="1" x14ac:dyDescent="0.25">
      <c r="A146" s="267" t="s">
        <v>156</v>
      </c>
      <c r="B146" s="298">
        <v>61</v>
      </c>
      <c r="C146" s="289"/>
      <c r="D146" s="269"/>
      <c r="E146" s="270"/>
      <c r="F146" s="544"/>
      <c r="G146" s="270"/>
      <c r="H146" s="269"/>
      <c r="I146" s="270"/>
      <c r="J146" s="245"/>
      <c r="K146" s="246"/>
      <c r="L146" s="246"/>
    </row>
    <row r="147" spans="1:12" s="199" customFormat="1" x14ac:dyDescent="0.25">
      <c r="A147" s="280" t="s">
        <v>431</v>
      </c>
      <c r="B147" s="281"/>
      <c r="C147" s="249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84" customFormat="1" ht="26.25" x14ac:dyDescent="0.25">
      <c r="A148" s="267" t="s">
        <v>40</v>
      </c>
      <c r="B148" s="268">
        <v>95</v>
      </c>
      <c r="C148" s="289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99" customFormat="1" ht="26.25" x14ac:dyDescent="0.25">
      <c r="A149" s="280" t="s">
        <v>430</v>
      </c>
      <c r="B149" s="302"/>
      <c r="C149" s="303"/>
      <c r="D149" s="250"/>
      <c r="E149" s="251"/>
      <c r="F149" s="543"/>
      <c r="G149" s="251"/>
      <c r="H149" s="250"/>
      <c r="I149" s="251"/>
      <c r="J149" s="249"/>
      <c r="K149" s="253"/>
      <c r="L149" s="253"/>
    </row>
    <row r="150" spans="1:12" s="149" customFormat="1" x14ac:dyDescent="0.25">
      <c r="A150" s="260" t="s">
        <v>355</v>
      </c>
      <c r="B150" s="261" t="s">
        <v>356</v>
      </c>
      <c r="C150" s="266" t="s">
        <v>1006</v>
      </c>
      <c r="D150" s="263"/>
      <c r="E150" s="264"/>
      <c r="F150" s="583"/>
      <c r="G150" s="264"/>
      <c r="H150" s="263">
        <v>74.98</v>
      </c>
      <c r="I150" s="264">
        <v>135950</v>
      </c>
      <c r="J150" s="262"/>
      <c r="K150" s="265"/>
      <c r="L150" s="265"/>
    </row>
    <row r="151" spans="1:12" s="184" customFormat="1" ht="46.5" customHeight="1" x14ac:dyDescent="0.25">
      <c r="A151" s="559"/>
      <c r="B151" s="559"/>
      <c r="C151" s="559"/>
      <c r="D151" s="574"/>
      <c r="E151" s="561"/>
      <c r="F151" s="562"/>
      <c r="G151" s="561"/>
      <c r="H151" s="574"/>
      <c r="I151" s="561"/>
      <c r="J151" s="560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69"/>
      <c r="E259" s="270"/>
      <c r="F259" s="544"/>
      <c r="G259" s="270"/>
      <c r="H259" s="269"/>
      <c r="I259" s="270"/>
      <c r="J259" s="245"/>
      <c r="K259" s="246"/>
      <c r="L259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22"/>
      <c r="B4" s="623"/>
      <c r="C4" s="623"/>
      <c r="D4" s="623"/>
      <c r="E4" s="623"/>
      <c r="F4" s="623"/>
      <c r="G4" s="62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280645.74</v>
      </c>
      <c r="D13" s="34"/>
      <c r="E13" s="35" t="s">
        <v>33</v>
      </c>
      <c r="F13" s="34"/>
      <c r="G13" s="42">
        <v>22465.53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1655</v>
      </c>
      <c r="D15" s="34"/>
      <c r="E15" s="35" t="s">
        <v>10</v>
      </c>
      <c r="F15" s="34"/>
      <c r="G15" s="42">
        <v>1687.53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7754.5</v>
      </c>
      <c r="D17" s="34"/>
      <c r="E17" s="35" t="s">
        <v>278</v>
      </c>
      <c r="F17" s="34"/>
      <c r="G17" s="42">
        <v>6213.25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258"/>
  <sheetViews>
    <sheetView zoomScaleNormal="100" workbookViewId="0">
      <pane ySplit="2" topLeftCell="A18" activePane="bottomLeft" state="frozen"/>
      <selection pane="bottomLeft" activeCell="B41" sqref="B41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964</v>
      </c>
      <c r="D3" s="257"/>
      <c r="E3" s="258"/>
      <c r="F3" s="586">
        <v>961.55</v>
      </c>
      <c r="G3" s="258">
        <v>1354</v>
      </c>
      <c r="H3" s="257"/>
      <c r="I3" s="258"/>
      <c r="J3" s="256" t="s">
        <v>10</v>
      </c>
      <c r="K3" s="259"/>
      <c r="L3" s="259"/>
    </row>
    <row r="4" spans="1:12" s="184" customFormat="1" x14ac:dyDescent="0.25">
      <c r="A4" s="267" t="s">
        <v>13</v>
      </c>
      <c r="B4" s="268">
        <v>3026210376</v>
      </c>
      <c r="C4" s="245"/>
      <c r="D4" s="269"/>
      <c r="E4" s="270"/>
      <c r="F4" s="544"/>
      <c r="G4" s="270"/>
      <c r="H4" s="269"/>
      <c r="I4" s="270"/>
      <c r="J4" s="245" t="s">
        <v>10</v>
      </c>
      <c r="K4" s="246"/>
      <c r="L4" s="246"/>
    </row>
    <row r="5" spans="1:12" s="148" customFormat="1" x14ac:dyDescent="0.25">
      <c r="A5" s="254" t="s">
        <v>34</v>
      </c>
      <c r="B5" s="255">
        <v>3039472917</v>
      </c>
      <c r="C5" s="256" t="s">
        <v>964</v>
      </c>
      <c r="D5" s="257"/>
      <c r="E5" s="258"/>
      <c r="F5" s="586">
        <v>67.680000000000007</v>
      </c>
      <c r="G5" s="258">
        <v>30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969</v>
      </c>
      <c r="D6" s="263"/>
      <c r="E6" s="264"/>
      <c r="F6" s="583">
        <v>108.19</v>
      </c>
      <c r="G6" s="264">
        <v>90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987</v>
      </c>
      <c r="D7" s="263"/>
      <c r="E7" s="264"/>
      <c r="F7" s="583">
        <v>66.03</v>
      </c>
      <c r="G7" s="264">
        <v>11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986</v>
      </c>
      <c r="D8" s="263"/>
      <c r="E8" s="264"/>
      <c r="F8" s="583">
        <v>61.22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966</v>
      </c>
      <c r="D9" s="263"/>
      <c r="E9" s="264"/>
      <c r="F9" s="583">
        <v>57.55</v>
      </c>
      <c r="G9" s="264">
        <v>15</v>
      </c>
      <c r="H9" s="263"/>
      <c r="I9" s="264"/>
      <c r="J9" s="262" t="s">
        <v>10</v>
      </c>
      <c r="K9" s="265"/>
      <c r="L9" s="265"/>
    </row>
    <row r="10" spans="1:12" s="184" customFormat="1" x14ac:dyDescent="0.25">
      <c r="A10" s="267" t="s">
        <v>43</v>
      </c>
      <c r="B10" s="268">
        <v>3039782225</v>
      </c>
      <c r="C10" s="245"/>
      <c r="D10" s="269"/>
      <c r="E10" s="270"/>
      <c r="F10" s="544"/>
      <c r="G10" s="270"/>
      <c r="H10" s="269"/>
      <c r="I10" s="270"/>
      <c r="J10" s="245" t="s">
        <v>10</v>
      </c>
      <c r="K10" s="246"/>
      <c r="L10" s="246"/>
    </row>
    <row r="11" spans="1:12" s="184" customFormat="1" x14ac:dyDescent="0.25">
      <c r="A11" s="267" t="s">
        <v>610</v>
      </c>
      <c r="B11" s="268">
        <v>3039618715</v>
      </c>
      <c r="C11" s="363"/>
      <c r="D11" s="269"/>
      <c r="E11" s="270"/>
      <c r="F11" s="544"/>
      <c r="G11" s="270"/>
      <c r="H11" s="269"/>
      <c r="I11" s="270"/>
      <c r="J11" s="245" t="s">
        <v>10</v>
      </c>
      <c r="K11" s="246"/>
      <c r="L11" s="246"/>
    </row>
    <row r="12" spans="1:12" s="149" customFormat="1" x14ac:dyDescent="0.25">
      <c r="A12" s="260" t="s">
        <v>46</v>
      </c>
      <c r="B12" s="261">
        <v>3023189549</v>
      </c>
      <c r="C12" s="262" t="s">
        <v>966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966</v>
      </c>
      <c r="D13" s="263"/>
      <c r="E13" s="264"/>
      <c r="F13" s="583">
        <v>47.43</v>
      </c>
      <c r="G13" s="264">
        <v>0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969</v>
      </c>
      <c r="D14" s="263"/>
      <c r="E14" s="264"/>
      <c r="F14" s="583">
        <v>56.21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966</v>
      </c>
      <c r="D15" s="263"/>
      <c r="E15" s="264"/>
      <c r="F15" s="583">
        <v>128.44</v>
      </c>
      <c r="G15" s="264">
        <v>120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979</v>
      </c>
      <c r="D16" s="263"/>
      <c r="E16" s="264"/>
      <c r="F16" s="583">
        <v>38.369999999999997</v>
      </c>
      <c r="G16" s="264">
        <v>19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979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971</v>
      </c>
      <c r="D19" s="572">
        <v>26.52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971</v>
      </c>
      <c r="D20" s="572">
        <v>173.99</v>
      </c>
      <c r="E20" s="564">
        <v>600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971</v>
      </c>
      <c r="D21" s="572">
        <v>677.43</v>
      </c>
      <c r="E21" s="564">
        <v>4160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971</v>
      </c>
      <c r="D22" s="572">
        <v>17.57</v>
      </c>
      <c r="E22" s="564">
        <v>53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971</v>
      </c>
      <c r="D23" s="572">
        <v>15.26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971</v>
      </c>
      <c r="D24" s="572">
        <v>92.36</v>
      </c>
      <c r="E24" s="564">
        <v>1250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972</v>
      </c>
      <c r="D25" s="572">
        <v>5072.03</v>
      </c>
      <c r="E25" s="564">
        <v>98700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971</v>
      </c>
      <c r="D26" s="572">
        <v>44.4</v>
      </c>
      <c r="E26" s="564">
        <v>3045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972</v>
      </c>
      <c r="D27" s="572">
        <v>483.74</v>
      </c>
      <c r="E27" s="564">
        <v>2100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973</v>
      </c>
      <c r="D28" s="572">
        <v>343.03</v>
      </c>
      <c r="E28" s="564">
        <v>2320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971</v>
      </c>
      <c r="D29" s="572">
        <v>909.87</v>
      </c>
      <c r="E29" s="564">
        <v>11320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973</v>
      </c>
      <c r="D30" s="572">
        <v>832.46</v>
      </c>
      <c r="E30" s="564">
        <v>11543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971</v>
      </c>
      <c r="D31" s="572">
        <v>1281.49</v>
      </c>
      <c r="E31" s="564">
        <v>16920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971</v>
      </c>
      <c r="D32" s="572">
        <v>14.72</v>
      </c>
      <c r="E32" s="564">
        <v>7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971</v>
      </c>
      <c r="D33" s="572">
        <v>21.13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971</v>
      </c>
      <c r="D34" s="572">
        <v>21.1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974</v>
      </c>
      <c r="D35" s="572">
        <v>172.35</v>
      </c>
      <c r="E35" s="564">
        <v>654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974</v>
      </c>
      <c r="D36" s="572">
        <v>68.2</v>
      </c>
      <c r="E36" s="564">
        <v>872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972</v>
      </c>
      <c r="D37" s="572">
        <v>370.28</v>
      </c>
      <c r="E37" s="564">
        <v>4466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973</v>
      </c>
      <c r="D38" s="572">
        <v>37.92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974</v>
      </c>
      <c r="D39" s="572">
        <v>21.91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975</v>
      </c>
      <c r="D40" s="572">
        <v>31.31</v>
      </c>
      <c r="E40" s="564">
        <v>277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978</v>
      </c>
      <c r="D41" s="572">
        <v>16.87</v>
      </c>
      <c r="E41" s="564">
        <v>42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971</v>
      </c>
      <c r="D42" s="572">
        <v>15.26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971</v>
      </c>
      <c r="D43" s="572">
        <v>18.3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972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974</v>
      </c>
      <c r="D45" s="572">
        <v>189.99</v>
      </c>
      <c r="E45" s="564">
        <v>1061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971</v>
      </c>
      <c r="D46" s="572">
        <v>318.20999999999998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971</v>
      </c>
      <c r="D47" s="572">
        <v>235.62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971</v>
      </c>
      <c r="D48" s="572">
        <v>1445.85</v>
      </c>
      <c r="E48" s="564">
        <v>19260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974</v>
      </c>
      <c r="D49" s="572">
        <v>21.92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973</v>
      </c>
      <c r="D50" s="572">
        <v>26.47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975</v>
      </c>
      <c r="D51" s="572">
        <v>190.97</v>
      </c>
      <c r="E51" s="564">
        <v>984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974</v>
      </c>
      <c r="D52" s="572">
        <v>87.9</v>
      </c>
      <c r="E52" s="564">
        <v>1191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971</v>
      </c>
      <c r="D53" s="572">
        <v>21.13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70" customFormat="1" ht="15.75" x14ac:dyDescent="0.25">
      <c r="A54" s="568" t="s">
        <v>846</v>
      </c>
      <c r="B54" s="568">
        <v>5074402</v>
      </c>
      <c r="C54" s="568"/>
      <c r="D54" s="573"/>
      <c r="E54" s="569"/>
      <c r="F54" s="616"/>
      <c r="G54" s="569"/>
      <c r="H54" s="573"/>
      <c r="I54" s="569"/>
      <c r="J54" s="568"/>
      <c r="K54" s="617" t="s">
        <v>813</v>
      </c>
      <c r="L54" s="617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973</v>
      </c>
      <c r="D55" s="572">
        <v>16.75</v>
      </c>
      <c r="E55" s="564">
        <v>40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977</v>
      </c>
      <c r="D56" s="572">
        <v>31.43</v>
      </c>
      <c r="E56" s="564">
        <v>278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978</v>
      </c>
      <c r="D57" s="572">
        <v>104.87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974</v>
      </c>
      <c r="D58" s="572">
        <v>617.23</v>
      </c>
      <c r="E58" s="564">
        <v>7920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973</v>
      </c>
      <c r="D59" s="572">
        <v>240.16</v>
      </c>
      <c r="E59" s="564">
        <v>2421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975</v>
      </c>
      <c r="D60" s="572">
        <v>22.51</v>
      </c>
      <c r="E60" s="564">
        <v>134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974</v>
      </c>
      <c r="D61" s="572">
        <v>141.54</v>
      </c>
      <c r="E61" s="564">
        <v>2059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971</v>
      </c>
      <c r="D62" s="572">
        <v>468.92</v>
      </c>
      <c r="E62" s="564">
        <v>4415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971</v>
      </c>
      <c r="D63" s="572">
        <v>24.21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978</v>
      </c>
      <c r="D64" s="572">
        <v>14.29</v>
      </c>
      <c r="E64" s="564">
        <v>0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971</v>
      </c>
      <c r="D65" s="572">
        <v>1012.68</v>
      </c>
      <c r="E65" s="564">
        <v>9750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972</v>
      </c>
      <c r="D66" s="572">
        <v>71.45</v>
      </c>
      <c r="E66" s="564">
        <v>930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972</v>
      </c>
      <c r="D67" s="572">
        <v>21.67</v>
      </c>
      <c r="E67" s="564">
        <v>120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967</v>
      </c>
      <c r="D69" s="263">
        <v>347</v>
      </c>
      <c r="E69" s="264">
        <v>3297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967</v>
      </c>
      <c r="D70" s="263">
        <v>187</v>
      </c>
      <c r="E70" s="264">
        <v>1417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967</v>
      </c>
      <c r="D71" s="263">
        <v>92</v>
      </c>
      <c r="E71" s="264">
        <v>436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967</v>
      </c>
      <c r="D72" s="263">
        <v>40</v>
      </c>
      <c r="E72" s="264">
        <v>95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967</v>
      </c>
      <c r="D73" s="263">
        <v>38</v>
      </c>
      <c r="E73" s="264">
        <v>74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967</v>
      </c>
      <c r="D74" s="263">
        <v>254</v>
      </c>
      <c r="E74" s="264">
        <v>3115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967</v>
      </c>
      <c r="D75" s="263">
        <v>171</v>
      </c>
      <c r="E75" s="264">
        <v>1550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967</v>
      </c>
      <c r="D76" s="263">
        <v>54</v>
      </c>
      <c r="E76" s="264">
        <v>246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967</v>
      </c>
      <c r="D77" s="263">
        <v>75</v>
      </c>
      <c r="E77" s="264">
        <v>259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967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967</v>
      </c>
      <c r="D79" s="263">
        <v>31</v>
      </c>
      <c r="E79" s="264">
        <v>1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967</v>
      </c>
      <c r="D80" s="263">
        <v>65.180000000000007</v>
      </c>
      <c r="E80" s="264">
        <v>158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967</v>
      </c>
      <c r="D81" s="257">
        <v>185</v>
      </c>
      <c r="E81" s="258">
        <v>1441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967</v>
      </c>
      <c r="D82" s="263">
        <v>1312</v>
      </c>
      <c r="E82" s="264">
        <v>13800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967</v>
      </c>
      <c r="D83" s="263">
        <v>41</v>
      </c>
      <c r="E83" s="264">
        <v>29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967</v>
      </c>
      <c r="D84" s="263">
        <v>57</v>
      </c>
      <c r="E84" s="264">
        <v>12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967</v>
      </c>
      <c r="D85" s="263">
        <v>31</v>
      </c>
      <c r="E85" s="264">
        <v>1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967</v>
      </c>
      <c r="D86" s="263">
        <v>71</v>
      </c>
      <c r="E86" s="264">
        <v>345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967</v>
      </c>
      <c r="D87" s="263">
        <v>576</v>
      </c>
      <c r="E87" s="264">
        <v>4500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967</v>
      </c>
      <c r="D88" s="263">
        <v>339</v>
      </c>
      <c r="E88" s="264">
        <v>2640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967</v>
      </c>
      <c r="D89" s="349">
        <v>280</v>
      </c>
      <c r="E89" s="350">
        <v>6.74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967</v>
      </c>
      <c r="D90" s="263">
        <v>152</v>
      </c>
      <c r="E90" s="264">
        <v>599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967</v>
      </c>
      <c r="D91" s="263">
        <v>75</v>
      </c>
      <c r="E91" s="264">
        <v>258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967</v>
      </c>
      <c r="D92" s="263">
        <v>124</v>
      </c>
      <c r="E92" s="264">
        <v>724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967</v>
      </c>
      <c r="D93" s="263">
        <v>81</v>
      </c>
      <c r="E93" s="264">
        <v>599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967</v>
      </c>
      <c r="D94" s="263">
        <v>779.79</v>
      </c>
      <c r="E94" s="264">
        <v>23640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967</v>
      </c>
      <c r="D95" s="263">
        <v>237</v>
      </c>
      <c r="E95" s="264">
        <v>1939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967</v>
      </c>
      <c r="D96" s="263">
        <v>620</v>
      </c>
      <c r="E96" s="264">
        <v>5520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967</v>
      </c>
      <c r="D98" s="263"/>
      <c r="E98" s="264"/>
      <c r="F98" s="583"/>
      <c r="G98" s="264"/>
      <c r="H98" s="263">
        <v>372.35</v>
      </c>
      <c r="I98" s="264">
        <v>521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967</v>
      </c>
      <c r="D99" s="263"/>
      <c r="E99" s="264"/>
      <c r="F99" s="583"/>
      <c r="G99" s="264"/>
      <c r="H99" s="263">
        <v>293.55</v>
      </c>
      <c r="I99" s="264">
        <v>418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967</v>
      </c>
      <c r="D100" s="263"/>
      <c r="E100" s="264"/>
      <c r="F100" s="583"/>
      <c r="G100" s="264"/>
      <c r="H100" s="263">
        <v>42.2</v>
      </c>
      <c r="I100" s="264">
        <v>36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967</v>
      </c>
      <c r="D101" s="263"/>
      <c r="E101" s="264"/>
      <c r="F101" s="583"/>
      <c r="G101" s="264"/>
      <c r="H101" s="263">
        <v>55.02</v>
      </c>
      <c r="I101" s="264">
        <v>60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967</v>
      </c>
      <c r="D102" s="263"/>
      <c r="E102" s="264"/>
      <c r="F102" s="583"/>
      <c r="G102" s="264"/>
      <c r="H102" s="263">
        <v>47.54</v>
      </c>
      <c r="I102" s="264">
        <v>46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967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967</v>
      </c>
      <c r="D104" s="263"/>
      <c r="E104" s="264"/>
      <c r="F104" s="583"/>
      <c r="G104" s="264"/>
      <c r="H104" s="263">
        <v>66.23</v>
      </c>
      <c r="I104" s="264">
        <v>81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967</v>
      </c>
      <c r="D105" s="263"/>
      <c r="E105" s="264"/>
      <c r="F105" s="583"/>
      <c r="G105" s="264"/>
      <c r="H105" s="263">
        <v>33.659999999999997</v>
      </c>
      <c r="I105" s="264">
        <v>14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967</v>
      </c>
      <c r="D106" s="263"/>
      <c r="E106" s="264"/>
      <c r="F106" s="583"/>
      <c r="G106" s="264"/>
      <c r="H106" s="263">
        <v>156.21</v>
      </c>
      <c r="I106" s="264">
        <v>223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967</v>
      </c>
      <c r="D107" s="263"/>
      <c r="E107" s="264"/>
      <c r="F107" s="583"/>
      <c r="G107" s="264"/>
      <c r="H107" s="263">
        <v>75.31</v>
      </c>
      <c r="I107" s="264">
        <v>98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967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967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967</v>
      </c>
      <c r="D110" s="263"/>
      <c r="E110" s="264"/>
      <c r="F110" s="583"/>
      <c r="G110" s="264"/>
      <c r="H110" s="263">
        <v>33.659999999999997</v>
      </c>
      <c r="I110" s="264">
        <v>3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967</v>
      </c>
      <c r="D111" s="263"/>
      <c r="E111" s="264"/>
      <c r="F111" s="583"/>
      <c r="G111" s="264"/>
      <c r="H111" s="263">
        <v>281.31</v>
      </c>
      <c r="I111" s="264">
        <v>402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967</v>
      </c>
      <c r="D112" s="263"/>
      <c r="E112" s="264"/>
      <c r="F112" s="583"/>
      <c r="G112" s="264"/>
      <c r="H112" s="263">
        <v>34.729999999999997</v>
      </c>
      <c r="I112" s="264">
        <v>22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967</v>
      </c>
      <c r="D113" s="263"/>
      <c r="E113" s="264"/>
      <c r="F113" s="583"/>
      <c r="G113" s="264"/>
      <c r="H113" s="263">
        <v>33.659999999999997</v>
      </c>
      <c r="I113" s="264">
        <v>7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967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967</v>
      </c>
      <c r="D115" s="263"/>
      <c r="E115" s="264"/>
      <c r="F115" s="583"/>
      <c r="G115" s="264"/>
      <c r="H115" s="263">
        <v>33.659999999999997</v>
      </c>
      <c r="I115" s="264">
        <v>1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2" t="s">
        <v>967</v>
      </c>
      <c r="D116" s="263"/>
      <c r="E116" s="264"/>
      <c r="F116" s="583"/>
      <c r="G116" s="264"/>
      <c r="H116" s="263">
        <v>33.659999999999997</v>
      </c>
      <c r="I116" s="264">
        <v>9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967</v>
      </c>
      <c r="D117" s="263"/>
      <c r="E117" s="264"/>
      <c r="F117" s="583"/>
      <c r="G117" s="264"/>
      <c r="H117" s="263">
        <v>1586.4</v>
      </c>
      <c r="I117" s="264">
        <v>2108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967</v>
      </c>
      <c r="D118" s="263"/>
      <c r="E118" s="264"/>
      <c r="F118" s="583"/>
      <c r="G118" s="264"/>
      <c r="H118" s="263">
        <v>446.55</v>
      </c>
      <c r="I118" s="264">
        <v>618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967</v>
      </c>
      <c r="D119" s="263"/>
      <c r="E119" s="264"/>
      <c r="F119" s="583"/>
      <c r="G119" s="264"/>
      <c r="H119" s="263">
        <v>34.729999999999997</v>
      </c>
      <c r="I119" s="264">
        <v>22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967</v>
      </c>
      <c r="D120" s="263"/>
      <c r="E120" s="264"/>
      <c r="F120" s="583"/>
      <c r="G120" s="264"/>
      <c r="H120" s="263">
        <v>65.7</v>
      </c>
      <c r="I120" s="264">
        <v>80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2" t="s">
        <v>967</v>
      </c>
      <c r="D121" s="263"/>
      <c r="E121" s="264"/>
      <c r="F121" s="583"/>
      <c r="G121" s="264"/>
      <c r="H121" s="263">
        <v>33.659999999999997</v>
      </c>
      <c r="I121" s="264">
        <v>19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967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967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49" customFormat="1" ht="26.25" x14ac:dyDescent="0.25">
      <c r="A124" s="260" t="s">
        <v>983</v>
      </c>
      <c r="B124" s="261" t="s">
        <v>981</v>
      </c>
      <c r="C124" s="262" t="s">
        <v>982</v>
      </c>
      <c r="D124" s="263"/>
      <c r="E124" s="264"/>
      <c r="F124" s="583"/>
      <c r="G124" s="264"/>
      <c r="H124" s="263">
        <v>154.94999999999999</v>
      </c>
      <c r="I124" s="264">
        <v>247</v>
      </c>
      <c r="J124" s="262"/>
      <c r="K124" s="265"/>
      <c r="L124" s="265"/>
    </row>
    <row r="125" spans="1:12" s="149" customFormat="1" x14ac:dyDescent="0.25">
      <c r="A125" s="260" t="s">
        <v>980</v>
      </c>
      <c r="B125" s="261" t="s">
        <v>981</v>
      </c>
      <c r="C125" s="262" t="s">
        <v>982</v>
      </c>
      <c r="D125" s="263"/>
      <c r="E125" s="264"/>
      <c r="F125" s="583"/>
      <c r="G125" s="264"/>
      <c r="H125" s="263">
        <v>154.94999999999999</v>
      </c>
      <c r="I125" s="264">
        <v>247</v>
      </c>
      <c r="J125" s="262"/>
      <c r="K125" s="265"/>
      <c r="L125" s="265"/>
    </row>
    <row r="126" spans="1:12" s="149" customFormat="1" x14ac:dyDescent="0.25">
      <c r="A126" s="260" t="s">
        <v>105</v>
      </c>
      <c r="B126" s="261" t="s">
        <v>196</v>
      </c>
      <c r="C126" s="262" t="s">
        <v>967</v>
      </c>
      <c r="D126" s="263"/>
      <c r="E126" s="264"/>
      <c r="F126" s="583"/>
      <c r="G126" s="264"/>
      <c r="H126" s="263">
        <v>50.49</v>
      </c>
      <c r="I126" s="264">
        <v>2</v>
      </c>
      <c r="J126" s="262"/>
      <c r="K126" s="265"/>
      <c r="L126" s="265"/>
    </row>
    <row r="127" spans="1:12" s="149" customFormat="1" x14ac:dyDescent="0.25">
      <c r="A127" s="260" t="s">
        <v>68</v>
      </c>
      <c r="B127" s="261" t="s">
        <v>166</v>
      </c>
      <c r="C127" s="262" t="s">
        <v>967</v>
      </c>
      <c r="D127" s="263"/>
      <c r="E127" s="264"/>
      <c r="F127" s="583"/>
      <c r="G127" s="264"/>
      <c r="H127" s="263">
        <v>42.2</v>
      </c>
      <c r="I127" s="264">
        <v>36</v>
      </c>
      <c r="J127" s="262"/>
      <c r="K127" s="265"/>
      <c r="L127" s="265"/>
    </row>
    <row r="128" spans="1:12" s="149" customFormat="1" x14ac:dyDescent="0.25">
      <c r="A128" s="260" t="s">
        <v>46</v>
      </c>
      <c r="B128" s="261" t="s">
        <v>193</v>
      </c>
      <c r="C128" s="262" t="s">
        <v>967</v>
      </c>
      <c r="D128" s="263"/>
      <c r="E128" s="264"/>
      <c r="F128" s="583"/>
      <c r="G128" s="264"/>
      <c r="H128" s="263">
        <v>33.659999999999997</v>
      </c>
      <c r="I128" s="264">
        <v>17</v>
      </c>
      <c r="J128" s="262"/>
      <c r="K128" s="265"/>
      <c r="L128" s="265"/>
    </row>
    <row r="129" spans="1:12" s="149" customFormat="1" x14ac:dyDescent="0.25">
      <c r="A129" s="260" t="s">
        <v>17</v>
      </c>
      <c r="B129" s="261" t="s">
        <v>192</v>
      </c>
      <c r="C129" s="262" t="s">
        <v>967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5"/>
      <c r="L129" s="265"/>
    </row>
    <row r="130" spans="1:12" s="184" customFormat="1" x14ac:dyDescent="0.25">
      <c r="A130" s="267" t="s">
        <v>47</v>
      </c>
      <c r="B130" s="268" t="s">
        <v>139</v>
      </c>
      <c r="C130" s="245"/>
      <c r="D130" s="269"/>
      <c r="E130" s="270"/>
      <c r="F130" s="544"/>
      <c r="G130" s="270"/>
      <c r="H130" s="269"/>
      <c r="I130" s="270"/>
      <c r="J130" s="245"/>
      <c r="K130" s="246"/>
      <c r="L130" s="246"/>
    </row>
    <row r="131" spans="1:12" s="184" customFormat="1" x14ac:dyDescent="0.25">
      <c r="A131" s="267" t="s">
        <v>64</v>
      </c>
      <c r="B131" s="268" t="s">
        <v>191</v>
      </c>
      <c r="C131" s="245"/>
      <c r="D131" s="269"/>
      <c r="E131" s="270"/>
      <c r="F131" s="544"/>
      <c r="G131" s="270"/>
      <c r="H131" s="269"/>
      <c r="I131" s="270"/>
      <c r="J131" s="245"/>
      <c r="K131" s="246"/>
      <c r="L131" s="246"/>
    </row>
    <row r="132" spans="1:12" s="184" customFormat="1" x14ac:dyDescent="0.25">
      <c r="A132" s="267" t="s">
        <v>130</v>
      </c>
      <c r="B132" s="268" t="s">
        <v>131</v>
      </c>
      <c r="C132" s="245"/>
      <c r="D132" s="269"/>
      <c r="E132" s="270"/>
      <c r="F132" s="544"/>
      <c r="G132" s="270"/>
      <c r="H132" s="269"/>
      <c r="I132" s="270"/>
      <c r="J132" s="245"/>
      <c r="K132" s="246"/>
      <c r="L132" s="246"/>
    </row>
    <row r="133" spans="1:12" s="184" customFormat="1" x14ac:dyDescent="0.25">
      <c r="A133" s="267" t="s">
        <v>134</v>
      </c>
      <c r="B133" s="268" t="s">
        <v>133</v>
      </c>
      <c r="C133" s="245"/>
      <c r="D133" s="269"/>
      <c r="E133" s="270"/>
      <c r="F133" s="544"/>
      <c r="G133" s="270"/>
      <c r="H133" s="269"/>
      <c r="I133" s="270"/>
      <c r="J133" s="245"/>
      <c r="K133" s="246"/>
      <c r="L133" s="246"/>
    </row>
    <row r="134" spans="1:12" s="184" customFormat="1" x14ac:dyDescent="0.25">
      <c r="A134" s="267" t="s">
        <v>543</v>
      </c>
      <c r="B134" s="268" t="s">
        <v>135</v>
      </c>
      <c r="C134" s="245"/>
      <c r="D134" s="269"/>
      <c r="E134" s="270"/>
      <c r="F134" s="544"/>
      <c r="G134" s="270"/>
      <c r="H134" s="269"/>
      <c r="I134" s="270"/>
      <c r="J134" s="245"/>
      <c r="K134" s="246"/>
      <c r="L134" s="246"/>
    </row>
    <row r="135" spans="1:12" s="184" customFormat="1" x14ac:dyDescent="0.25">
      <c r="A135" s="267" t="s">
        <v>137</v>
      </c>
      <c r="B135" s="268" t="s">
        <v>138</v>
      </c>
      <c r="C135" s="245"/>
      <c r="D135" s="269"/>
      <c r="E135" s="270"/>
      <c r="F135" s="544"/>
      <c r="G135" s="270"/>
      <c r="H135" s="269"/>
      <c r="I135" s="270"/>
      <c r="J135" s="245"/>
      <c r="K135" s="246"/>
      <c r="L135" s="246"/>
    </row>
    <row r="136" spans="1:12" s="184" customFormat="1" x14ac:dyDescent="0.25">
      <c r="A136" s="267" t="s">
        <v>140</v>
      </c>
      <c r="B136" s="268" t="s">
        <v>141</v>
      </c>
      <c r="C136" s="289"/>
      <c r="D136" s="269"/>
      <c r="E136" s="270"/>
      <c r="F136" s="544"/>
      <c r="G136" s="270"/>
      <c r="H136" s="269"/>
      <c r="I136" s="270"/>
      <c r="J136" s="245"/>
      <c r="K136" s="246"/>
      <c r="L136" s="246"/>
    </row>
    <row r="137" spans="1:12" s="184" customFormat="1" x14ac:dyDescent="0.25">
      <c r="A137" s="267" t="s">
        <v>142</v>
      </c>
      <c r="B137" s="268" t="s">
        <v>143</v>
      </c>
      <c r="C137" s="245"/>
      <c r="D137" s="269"/>
      <c r="E137" s="270"/>
      <c r="F137" s="544"/>
      <c r="G137" s="270"/>
      <c r="H137" s="269"/>
      <c r="I137" s="270"/>
      <c r="J137" s="245"/>
      <c r="K137" s="246"/>
      <c r="L137" s="246"/>
    </row>
    <row r="138" spans="1:12" s="184" customFormat="1" x14ac:dyDescent="0.25">
      <c r="A138" s="267" t="s">
        <v>587</v>
      </c>
      <c r="B138" s="268" t="s">
        <v>145</v>
      </c>
      <c r="C138" s="245"/>
      <c r="D138" s="269"/>
      <c r="E138" s="270"/>
      <c r="F138" s="544"/>
      <c r="G138" s="270"/>
      <c r="H138" s="269"/>
      <c r="I138" s="270"/>
      <c r="J138" s="245"/>
      <c r="K138" s="246"/>
      <c r="L138" s="246"/>
    </row>
    <row r="139" spans="1:12" s="184" customFormat="1" x14ac:dyDescent="0.25">
      <c r="A139" s="267" t="s">
        <v>588</v>
      </c>
      <c r="B139" s="268" t="s">
        <v>147</v>
      </c>
      <c r="C139" s="245"/>
      <c r="D139" s="269"/>
      <c r="E139" s="270"/>
      <c r="F139" s="544"/>
      <c r="G139" s="270"/>
      <c r="H139" s="269"/>
      <c r="I139" s="270"/>
      <c r="J139" s="245"/>
      <c r="K139" s="246"/>
      <c r="L139" s="246"/>
    </row>
    <row r="140" spans="1:12" s="149" customFormat="1" x14ac:dyDescent="0.25">
      <c r="A140" s="260" t="s">
        <v>176</v>
      </c>
      <c r="B140" s="261" t="s">
        <v>165</v>
      </c>
      <c r="C140" s="262" t="s">
        <v>965</v>
      </c>
      <c r="D140" s="263"/>
      <c r="E140" s="264"/>
      <c r="F140" s="583"/>
      <c r="G140" s="264"/>
      <c r="H140" s="263">
        <v>375.41</v>
      </c>
      <c r="I140" s="264">
        <v>525</v>
      </c>
      <c r="J140" s="262"/>
      <c r="K140" s="265"/>
      <c r="L140" s="265"/>
    </row>
    <row r="141" spans="1:12" s="199" customFormat="1" x14ac:dyDescent="0.25">
      <c r="A141" s="280" t="s">
        <v>433</v>
      </c>
      <c r="B141" s="281"/>
      <c r="C141" s="249"/>
      <c r="D141" s="250"/>
      <c r="E141" s="251"/>
      <c r="F141" s="543"/>
      <c r="G141" s="251"/>
      <c r="H141" s="250"/>
      <c r="I141" s="251"/>
      <c r="J141" s="249"/>
      <c r="K141" s="253"/>
      <c r="L141" s="253"/>
    </row>
    <row r="142" spans="1:12" s="149" customFormat="1" x14ac:dyDescent="0.25">
      <c r="A142" s="260" t="s">
        <v>107</v>
      </c>
      <c r="B142" s="261">
        <v>67</v>
      </c>
      <c r="C142" s="262" t="s">
        <v>967</v>
      </c>
      <c r="D142" s="263"/>
      <c r="E142" s="264"/>
      <c r="F142" s="583"/>
      <c r="G142" s="264"/>
      <c r="H142" s="263">
        <v>55</v>
      </c>
      <c r="I142" s="264">
        <v>100</v>
      </c>
      <c r="J142" s="262"/>
      <c r="K142" s="265"/>
      <c r="L142" s="265"/>
    </row>
    <row r="143" spans="1:12" s="149" customFormat="1" x14ac:dyDescent="0.25">
      <c r="A143" s="260" t="s">
        <v>109</v>
      </c>
      <c r="B143" s="261">
        <v>95</v>
      </c>
      <c r="C143" s="262" t="s">
        <v>967</v>
      </c>
      <c r="D143" s="263"/>
      <c r="E143" s="264"/>
      <c r="F143" s="583"/>
      <c r="G143" s="264"/>
      <c r="H143" s="263">
        <v>1300</v>
      </c>
      <c r="I143" s="264">
        <v>62.5</v>
      </c>
      <c r="J143" s="262"/>
      <c r="K143" s="265"/>
      <c r="L143" s="265"/>
    </row>
    <row r="144" spans="1:12" s="199" customFormat="1" x14ac:dyDescent="0.25">
      <c r="A144" s="247" t="s">
        <v>432</v>
      </c>
      <c r="B144" s="248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156</v>
      </c>
      <c r="B145" s="291">
        <v>61</v>
      </c>
      <c r="C145" s="266">
        <v>42957</v>
      </c>
      <c r="D145" s="263"/>
      <c r="E145" s="264"/>
      <c r="F145" s="583"/>
      <c r="G145" s="264"/>
      <c r="H145" s="263">
        <v>35.18</v>
      </c>
      <c r="I145" s="264">
        <v>320</v>
      </c>
      <c r="J145" s="262"/>
      <c r="K145" s="265"/>
      <c r="L145" s="265"/>
    </row>
    <row r="146" spans="1:12" s="199" customFormat="1" x14ac:dyDescent="0.25">
      <c r="A146" s="280" t="s">
        <v>431</v>
      </c>
      <c r="B146" s="281"/>
      <c r="C146" s="249"/>
      <c r="D146" s="250"/>
      <c r="E146" s="251"/>
      <c r="F146" s="543"/>
      <c r="G146" s="251"/>
      <c r="H146" s="250"/>
      <c r="I146" s="251"/>
      <c r="J146" s="249"/>
      <c r="K146" s="253"/>
      <c r="L146" s="253"/>
    </row>
    <row r="147" spans="1:12" s="149" customFormat="1" ht="26.25" x14ac:dyDescent="0.25">
      <c r="A147" s="260" t="s">
        <v>40</v>
      </c>
      <c r="B147" s="261">
        <v>95</v>
      </c>
      <c r="C147" s="266" t="s">
        <v>968</v>
      </c>
      <c r="D147" s="263"/>
      <c r="E147" s="264"/>
      <c r="F147" s="583"/>
      <c r="G147" s="264"/>
      <c r="H147" s="263">
        <v>16</v>
      </c>
      <c r="I147" s="264">
        <v>1400</v>
      </c>
      <c r="J147" s="262"/>
      <c r="K147" s="265"/>
      <c r="L147" s="265"/>
    </row>
    <row r="148" spans="1:12" s="199" customFormat="1" ht="26.25" x14ac:dyDescent="0.25">
      <c r="A148" s="280" t="s">
        <v>430</v>
      </c>
      <c r="B148" s="302"/>
      <c r="C148" s="303"/>
      <c r="D148" s="250"/>
      <c r="E148" s="251"/>
      <c r="F148" s="543"/>
      <c r="G148" s="251"/>
      <c r="H148" s="250"/>
      <c r="I148" s="251"/>
      <c r="J148" s="249"/>
      <c r="K148" s="253"/>
      <c r="L148" s="253"/>
    </row>
    <row r="149" spans="1:12" s="184" customFormat="1" x14ac:dyDescent="0.25">
      <c r="A149" s="267" t="s">
        <v>355</v>
      </c>
      <c r="B149" s="268" t="s">
        <v>356</v>
      </c>
      <c r="C149" s="289"/>
      <c r="D149" s="269"/>
      <c r="E149" s="270"/>
      <c r="F149" s="544"/>
      <c r="G149" s="270"/>
      <c r="H149" s="269"/>
      <c r="I149" s="270"/>
      <c r="J149" s="245"/>
      <c r="K149" s="246"/>
      <c r="L149" s="246"/>
    </row>
    <row r="150" spans="1:12" s="184" customFormat="1" ht="46.5" customHeight="1" x14ac:dyDescent="0.25">
      <c r="A150" s="559"/>
      <c r="B150" s="559"/>
      <c r="C150" s="559"/>
      <c r="D150" s="574"/>
      <c r="E150" s="561"/>
      <c r="F150" s="562"/>
      <c r="G150" s="561"/>
      <c r="H150" s="574"/>
      <c r="I150" s="561"/>
      <c r="J150" s="560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6"/>
      <c r="L258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20"/>
  <sheetViews>
    <sheetView workbookViewId="0">
      <selection activeCell="E26" sqref="E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970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13"/>
      <c r="B4" s="614"/>
      <c r="C4" s="614"/>
      <c r="D4" s="614"/>
      <c r="E4" s="614"/>
      <c r="F4" s="614"/>
      <c r="G4" s="61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234301.34</v>
      </c>
      <c r="D13" s="34"/>
      <c r="E13" s="35" t="s">
        <v>33</v>
      </c>
      <c r="F13" s="34"/>
      <c r="G13" s="42">
        <v>21043.13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95879</v>
      </c>
      <c r="D15" s="34"/>
      <c r="E15" s="35" t="s">
        <v>10</v>
      </c>
      <c r="F15" s="34"/>
      <c r="G15" s="42">
        <v>1373.76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104289.8</v>
      </c>
      <c r="D17" s="34"/>
      <c r="E17" s="35" t="s">
        <v>278</v>
      </c>
      <c r="F17" s="34"/>
      <c r="G17" s="42">
        <v>8301.15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257"/>
  <sheetViews>
    <sheetView zoomScaleNormal="100" workbookViewId="0">
      <pane ySplit="2" topLeftCell="A22" activePane="bottomLeft" state="frozen"/>
      <selection pane="bottomLeft" activeCell="K47" sqref="K47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949</v>
      </c>
      <c r="D3" s="257"/>
      <c r="E3" s="258"/>
      <c r="F3" s="586">
        <v>569.61</v>
      </c>
      <c r="G3" s="258">
        <v>875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952</v>
      </c>
      <c r="D4" s="263"/>
      <c r="E4" s="264"/>
      <c r="F4" s="583">
        <v>55.32</v>
      </c>
      <c r="G4" s="264">
        <v>13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940</v>
      </c>
      <c r="D5" s="257"/>
      <c r="E5" s="258"/>
      <c r="F5" s="586">
        <v>54.71</v>
      </c>
      <c r="G5" s="258">
        <v>12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950</v>
      </c>
      <c r="D6" s="263"/>
      <c r="E6" s="264"/>
      <c r="F6" s="583">
        <v>54.12</v>
      </c>
      <c r="G6" s="264">
        <v>11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951</v>
      </c>
      <c r="D7" s="263"/>
      <c r="E7" s="264"/>
      <c r="F7" s="583">
        <v>60</v>
      </c>
      <c r="G7" s="264">
        <v>4355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951</v>
      </c>
      <c r="D8" s="263"/>
      <c r="E8" s="264"/>
      <c r="F8" s="583">
        <v>60.53</v>
      </c>
      <c r="G8" s="264">
        <v>4213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951</v>
      </c>
      <c r="D9" s="263"/>
      <c r="E9" s="264"/>
      <c r="F9" s="583">
        <v>47.59</v>
      </c>
      <c r="G9" s="264">
        <v>5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951</v>
      </c>
      <c r="D10" s="263"/>
      <c r="E10" s="264"/>
      <c r="F10" s="583">
        <v>69.930000000000007</v>
      </c>
      <c r="G10" s="264">
        <v>79293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963</v>
      </c>
      <c r="B11" s="261">
        <v>3039618715</v>
      </c>
      <c r="C11" s="271" t="s">
        <v>960</v>
      </c>
      <c r="D11" s="263"/>
      <c r="E11" s="264"/>
      <c r="F11" s="583">
        <v>59.46</v>
      </c>
      <c r="G11" s="264">
        <v>4213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951</v>
      </c>
      <c r="D12" s="263"/>
      <c r="E12" s="264"/>
      <c r="F12" s="583">
        <v>47.56</v>
      </c>
      <c r="G12" s="264">
        <v>2786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952</v>
      </c>
      <c r="D13" s="263"/>
      <c r="E13" s="264"/>
      <c r="F13" s="583">
        <v>52.93</v>
      </c>
      <c r="G13" s="264">
        <v>9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952</v>
      </c>
      <c r="D14" s="263"/>
      <c r="E14" s="264"/>
      <c r="F14" s="583">
        <v>51.14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952</v>
      </c>
      <c r="D15" s="263"/>
      <c r="E15" s="264"/>
      <c r="F15" s="583">
        <v>94.66</v>
      </c>
      <c r="G15" s="264">
        <v>79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960</v>
      </c>
      <c r="D16" s="263"/>
      <c r="E16" s="264"/>
      <c r="F16" s="583">
        <v>48.1</v>
      </c>
      <c r="G16" s="264">
        <v>1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960</v>
      </c>
      <c r="D17" s="263"/>
      <c r="E17" s="264"/>
      <c r="F17" s="583">
        <v>48.1</v>
      </c>
      <c r="G17" s="264">
        <v>1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942</v>
      </c>
      <c r="D19" s="563">
        <v>26.52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942</v>
      </c>
      <c r="D20" s="563">
        <v>173.93</v>
      </c>
      <c r="E20" s="564">
        <v>600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942</v>
      </c>
      <c r="D21" s="563">
        <v>651.12</v>
      </c>
      <c r="E21" s="564">
        <v>4000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948</v>
      </c>
      <c r="D22" s="563">
        <v>17.649999999999999</v>
      </c>
      <c r="E22" s="564">
        <v>55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941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943</v>
      </c>
      <c r="D24" s="563">
        <v>67.099999999999994</v>
      </c>
      <c r="E24" s="564">
        <v>874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943</v>
      </c>
      <c r="D25" s="563">
        <v>4456.8999999999996</v>
      </c>
      <c r="E25" s="564">
        <v>86200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50" customFormat="1" ht="15.75" x14ac:dyDescent="0.25">
      <c r="A26" s="546" t="s">
        <v>871</v>
      </c>
      <c r="B26" s="546">
        <v>5027654</v>
      </c>
      <c r="C26" s="546"/>
      <c r="D26" s="546"/>
      <c r="E26" s="547"/>
      <c r="F26" s="548"/>
      <c r="G26" s="547"/>
      <c r="H26" s="546"/>
      <c r="I26" s="547"/>
      <c r="J26" s="546"/>
      <c r="K26" s="549" t="s">
        <v>784</v>
      </c>
      <c r="L26" s="549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943</v>
      </c>
      <c r="D27" s="563">
        <v>431.64</v>
      </c>
      <c r="E27" s="564">
        <v>900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920</v>
      </c>
      <c r="D28" s="563">
        <v>334.21</v>
      </c>
      <c r="E28" s="564">
        <v>2400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942</v>
      </c>
      <c r="D29" s="563">
        <v>716.37</v>
      </c>
      <c r="E29" s="564">
        <v>7920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920</v>
      </c>
      <c r="D30" s="563">
        <v>559.69000000000005</v>
      </c>
      <c r="E30" s="564">
        <v>8005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942</v>
      </c>
      <c r="D31" s="563">
        <v>1093.44</v>
      </c>
      <c r="E31" s="564">
        <v>13860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942</v>
      </c>
      <c r="D32" s="563">
        <v>14.78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942</v>
      </c>
      <c r="D33" s="563">
        <v>21.1</v>
      </c>
      <c r="E33" s="564">
        <v>150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946</v>
      </c>
      <c r="D34" s="563">
        <v>21.11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944</v>
      </c>
      <c r="D35" s="563">
        <v>163.5</v>
      </c>
      <c r="E35" s="564">
        <v>460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944</v>
      </c>
      <c r="D36" s="563">
        <v>28.66</v>
      </c>
      <c r="E36" s="564">
        <v>235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943</v>
      </c>
      <c r="D37" s="563">
        <v>325.36</v>
      </c>
      <c r="E37" s="564">
        <v>3834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920</v>
      </c>
      <c r="D38" s="563">
        <v>71.86</v>
      </c>
      <c r="E38" s="564">
        <v>31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944</v>
      </c>
      <c r="D39" s="563">
        <v>21.89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946</v>
      </c>
      <c r="D40" s="563">
        <v>44.27</v>
      </c>
      <c r="E40" s="564">
        <v>493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948</v>
      </c>
      <c r="D41" s="563">
        <v>17.350000000000001</v>
      </c>
      <c r="E41" s="564">
        <v>50</v>
      </c>
      <c r="F41" s="604"/>
      <c r="G41" s="564"/>
      <c r="H41" s="563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5216006470</v>
      </c>
      <c r="C42" s="563" t="s">
        <v>942</v>
      </c>
      <c r="D42" s="563">
        <v>1295.79</v>
      </c>
      <c r="E42" s="564">
        <v>16200</v>
      </c>
      <c r="F42" s="604"/>
      <c r="G42" s="564"/>
      <c r="H42" s="563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942</v>
      </c>
      <c r="D43" s="563">
        <v>18.29</v>
      </c>
      <c r="E43" s="564">
        <v>80</v>
      </c>
      <c r="F43" s="604"/>
      <c r="G43" s="564"/>
      <c r="H43" s="563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943</v>
      </c>
      <c r="D44" s="563">
        <v>14.29</v>
      </c>
      <c r="E44" s="564">
        <v>0</v>
      </c>
      <c r="F44" s="604"/>
      <c r="G44" s="564"/>
      <c r="H44" s="563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944</v>
      </c>
      <c r="D45" s="563">
        <v>180.98</v>
      </c>
      <c r="E45" s="564">
        <v>873</v>
      </c>
      <c r="F45" s="604"/>
      <c r="G45" s="564"/>
      <c r="H45" s="563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942</v>
      </c>
      <c r="D46" s="563">
        <v>317.99</v>
      </c>
      <c r="E46" s="564">
        <v>1950</v>
      </c>
      <c r="F46" s="604"/>
      <c r="G46" s="564"/>
      <c r="H46" s="563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942</v>
      </c>
      <c r="D47" s="563">
        <v>235.49</v>
      </c>
      <c r="E47" s="564">
        <v>980</v>
      </c>
      <c r="F47" s="604"/>
      <c r="G47" s="564"/>
      <c r="H47" s="563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835</v>
      </c>
      <c r="B48" s="563">
        <v>5216006464</v>
      </c>
      <c r="C48" s="563" t="s">
        <v>942</v>
      </c>
      <c r="D48" s="563">
        <v>15.24</v>
      </c>
      <c r="E48" s="564">
        <v>70</v>
      </c>
      <c r="F48" s="604"/>
      <c r="G48" s="564"/>
      <c r="H48" s="563"/>
      <c r="I48" s="564"/>
      <c r="J48" s="563"/>
      <c r="K48" s="605" t="s">
        <v>807</v>
      </c>
      <c r="L48" s="605">
        <v>5216006470</v>
      </c>
    </row>
    <row r="49" spans="1:12" s="565" customFormat="1" ht="15.75" x14ac:dyDescent="0.25">
      <c r="A49" s="563" t="s">
        <v>852</v>
      </c>
      <c r="B49" s="563">
        <v>5216006471</v>
      </c>
      <c r="C49" s="563" t="s">
        <v>944</v>
      </c>
      <c r="D49" s="563">
        <v>21.89</v>
      </c>
      <c r="E49" s="564">
        <v>150</v>
      </c>
      <c r="F49" s="604"/>
      <c r="G49" s="564"/>
      <c r="H49" s="563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920</v>
      </c>
      <c r="D50" s="563">
        <v>26.45</v>
      </c>
      <c r="E50" s="564">
        <v>160</v>
      </c>
      <c r="F50" s="604"/>
      <c r="G50" s="564"/>
      <c r="H50" s="563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946</v>
      </c>
      <c r="D51" s="563">
        <v>106.81</v>
      </c>
      <c r="E51" s="564">
        <v>1314</v>
      </c>
      <c r="F51" s="604"/>
      <c r="G51" s="564"/>
      <c r="H51" s="563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944</v>
      </c>
      <c r="D52" s="563">
        <v>74.989999999999995</v>
      </c>
      <c r="E52" s="564"/>
      <c r="F52" s="604"/>
      <c r="G52" s="564"/>
      <c r="H52" s="563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947</v>
      </c>
      <c r="D53" s="563">
        <v>21.1</v>
      </c>
      <c r="E53" s="564">
        <v>150</v>
      </c>
      <c r="F53" s="604"/>
      <c r="G53" s="564"/>
      <c r="H53" s="563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846</v>
      </c>
      <c r="B54" s="563">
        <v>5074402</v>
      </c>
      <c r="C54" s="563"/>
      <c r="D54" s="563">
        <v>17.649999999999999</v>
      </c>
      <c r="E54" s="564">
        <v>44</v>
      </c>
      <c r="F54" s="604"/>
      <c r="G54" s="564"/>
      <c r="H54" s="563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920</v>
      </c>
      <c r="D55" s="563">
        <v>16.920000000000002</v>
      </c>
      <c r="E55" s="564">
        <v>43</v>
      </c>
      <c r="F55" s="604"/>
      <c r="G55" s="564"/>
      <c r="H55" s="563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945</v>
      </c>
      <c r="D56" s="563">
        <v>27.62</v>
      </c>
      <c r="E56" s="564">
        <v>219</v>
      </c>
      <c r="F56" s="604"/>
      <c r="G56" s="564"/>
      <c r="H56" s="563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948</v>
      </c>
      <c r="D57" s="563">
        <v>104.66</v>
      </c>
      <c r="E57" s="564">
        <v>770</v>
      </c>
      <c r="F57" s="604"/>
      <c r="G57" s="564"/>
      <c r="H57" s="563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944</v>
      </c>
      <c r="D58" s="563">
        <v>586.48</v>
      </c>
      <c r="E58" s="564">
        <v>7560</v>
      </c>
      <c r="F58" s="604"/>
      <c r="G58" s="564"/>
      <c r="H58" s="563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920</v>
      </c>
      <c r="D59" s="563">
        <v>201.21</v>
      </c>
      <c r="E59" s="564">
        <v>1926</v>
      </c>
      <c r="F59" s="604"/>
      <c r="G59" s="564"/>
      <c r="H59" s="563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946</v>
      </c>
      <c r="D60" s="563">
        <v>21.53</v>
      </c>
      <c r="E60" s="564">
        <v>119</v>
      </c>
      <c r="F60" s="604"/>
      <c r="G60" s="564"/>
      <c r="H60" s="563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944</v>
      </c>
      <c r="D61" s="563">
        <v>132.52000000000001</v>
      </c>
      <c r="E61" s="564">
        <v>1937</v>
      </c>
      <c r="F61" s="604"/>
      <c r="G61" s="564"/>
      <c r="H61" s="563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942</v>
      </c>
      <c r="D62" s="563">
        <v>389.09</v>
      </c>
      <c r="E62" s="564">
        <v>3302</v>
      </c>
      <c r="F62" s="604"/>
      <c r="G62" s="564"/>
      <c r="H62" s="563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942</v>
      </c>
      <c r="D63" s="563">
        <v>24.19</v>
      </c>
      <c r="E63" s="564">
        <v>140</v>
      </c>
      <c r="F63" s="604"/>
      <c r="G63" s="564"/>
      <c r="H63" s="563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948</v>
      </c>
      <c r="D64" s="563">
        <v>14.29</v>
      </c>
      <c r="E64" s="564">
        <v>0</v>
      </c>
      <c r="F64" s="604"/>
      <c r="G64" s="564"/>
      <c r="H64" s="563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942</v>
      </c>
      <c r="D65" s="563">
        <v>1042.55</v>
      </c>
      <c r="E65" s="564">
        <v>10050</v>
      </c>
      <c r="F65" s="604"/>
      <c r="G65" s="564"/>
      <c r="H65" s="563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943</v>
      </c>
      <c r="D66" s="563">
        <v>30.14</v>
      </c>
      <c r="E66" s="564">
        <v>260</v>
      </c>
      <c r="F66" s="604"/>
      <c r="G66" s="564"/>
      <c r="H66" s="563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943</v>
      </c>
      <c r="D67" s="563">
        <v>15.52</v>
      </c>
      <c r="E67" s="564">
        <v>20</v>
      </c>
      <c r="F67" s="604"/>
      <c r="G67" s="564"/>
      <c r="H67" s="563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954</v>
      </c>
      <c r="D69" s="263">
        <v>400</v>
      </c>
      <c r="E69" s="264">
        <v>3731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954</v>
      </c>
      <c r="D70" s="263">
        <v>168</v>
      </c>
      <c r="E70" s="264">
        <v>1187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954</v>
      </c>
      <c r="D71" s="263">
        <v>92</v>
      </c>
      <c r="E71" s="264">
        <v>424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954</v>
      </c>
      <c r="D72" s="263">
        <v>40</v>
      </c>
      <c r="E72" s="264">
        <v>95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954</v>
      </c>
      <c r="D73" s="263">
        <v>38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954</v>
      </c>
      <c r="D74" s="263">
        <v>263</v>
      </c>
      <c r="E74" s="264">
        <v>2151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954</v>
      </c>
      <c r="D75" s="263">
        <v>158</v>
      </c>
      <c r="E75" s="264">
        <v>1377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954</v>
      </c>
      <c r="D76" s="263">
        <v>55</v>
      </c>
      <c r="E76" s="264">
        <v>245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954</v>
      </c>
      <c r="D77" s="263">
        <v>86</v>
      </c>
      <c r="E77" s="264">
        <v>354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954</v>
      </c>
      <c r="D78" s="263">
        <v>31</v>
      </c>
      <c r="E78" s="264">
        <v>3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954</v>
      </c>
      <c r="D79" s="263">
        <v>35</v>
      </c>
      <c r="E79" s="264">
        <v>50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954</v>
      </c>
      <c r="D80" s="263">
        <v>87.1</v>
      </c>
      <c r="E80" s="264">
        <v>375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954</v>
      </c>
      <c r="D81" s="257">
        <v>132</v>
      </c>
      <c r="E81" s="258">
        <v>855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954</v>
      </c>
      <c r="D82" s="263">
        <v>1664</v>
      </c>
      <c r="E82" s="264">
        <v>13080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954</v>
      </c>
      <c r="D83" s="263">
        <v>42</v>
      </c>
      <c r="E83" s="264">
        <v>37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954</v>
      </c>
      <c r="D84" s="263">
        <v>58</v>
      </c>
      <c r="E84" s="264">
        <v>11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954</v>
      </c>
      <c r="D85" s="263">
        <v>31</v>
      </c>
      <c r="E85" s="264">
        <v>4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954</v>
      </c>
      <c r="D86" s="263">
        <v>69</v>
      </c>
      <c r="E86" s="264">
        <v>310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84" customFormat="1" x14ac:dyDescent="0.25">
      <c r="A87" s="267" t="s">
        <v>100</v>
      </c>
      <c r="B87" s="332">
        <v>1323346600</v>
      </c>
      <c r="C87" s="245"/>
      <c r="D87" s="269"/>
      <c r="E87" s="270"/>
      <c r="F87" s="544"/>
      <c r="G87" s="270"/>
      <c r="H87" s="269"/>
      <c r="I87" s="270"/>
      <c r="J87" s="245" t="s">
        <v>33</v>
      </c>
      <c r="K87" s="246"/>
      <c r="L87" s="246"/>
    </row>
    <row r="88" spans="1:12" s="184" customFormat="1" x14ac:dyDescent="0.25">
      <c r="A88" s="267" t="s">
        <v>101</v>
      </c>
      <c r="B88" s="332">
        <v>1322699400</v>
      </c>
      <c r="C88" s="245"/>
      <c r="D88" s="269"/>
      <c r="E88" s="270"/>
      <c r="F88" s="544"/>
      <c r="G88" s="270"/>
      <c r="H88" s="269"/>
      <c r="I88" s="270"/>
      <c r="J88" s="245" t="s">
        <v>33</v>
      </c>
      <c r="K88" s="246"/>
      <c r="L88" s="246"/>
    </row>
    <row r="89" spans="1:12" s="352" customFormat="1" x14ac:dyDescent="0.25">
      <c r="A89" s="346" t="s">
        <v>772</v>
      </c>
      <c r="B89" s="347" t="s">
        <v>200</v>
      </c>
      <c r="C89" s="348" t="s">
        <v>957</v>
      </c>
      <c r="D89" s="349">
        <v>285</v>
      </c>
      <c r="E89" s="350">
        <v>1.34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955</v>
      </c>
      <c r="B90" s="261" t="s">
        <v>207</v>
      </c>
      <c r="C90" s="262" t="s">
        <v>954</v>
      </c>
      <c r="D90" s="263">
        <v>144</v>
      </c>
      <c r="E90" s="264">
        <v>742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953</v>
      </c>
      <c r="B91" s="261" t="s">
        <v>222</v>
      </c>
      <c r="C91" s="262" t="s">
        <v>954</v>
      </c>
      <c r="D91" s="263">
        <v>50</v>
      </c>
      <c r="E91" s="264">
        <v>50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697</v>
      </c>
      <c r="B92" s="261" t="s">
        <v>220</v>
      </c>
      <c r="C92" s="262" t="s">
        <v>954</v>
      </c>
      <c r="D92" s="263">
        <v>125</v>
      </c>
      <c r="E92" s="264">
        <v>756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956</v>
      </c>
      <c r="B93" s="261" t="s">
        <v>221</v>
      </c>
      <c r="C93" s="266" t="s">
        <v>954</v>
      </c>
      <c r="D93" s="263">
        <v>71</v>
      </c>
      <c r="E93" s="264">
        <v>405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954</v>
      </c>
      <c r="D94" s="263">
        <v>1896</v>
      </c>
      <c r="E94" s="264">
        <v>22560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954</v>
      </c>
      <c r="D95" s="263">
        <v>168</v>
      </c>
      <c r="E95" s="264">
        <v>1184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954</v>
      </c>
      <c r="D96" s="263">
        <v>628</v>
      </c>
      <c r="E96" s="264">
        <v>5400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954</v>
      </c>
      <c r="D98" s="263"/>
      <c r="E98" s="264"/>
      <c r="F98" s="583"/>
      <c r="G98" s="264"/>
      <c r="H98" s="263">
        <v>335.63</v>
      </c>
      <c r="I98" s="264">
        <v>473</v>
      </c>
      <c r="J98" s="262"/>
      <c r="K98" s="265"/>
      <c r="L98" s="265"/>
    </row>
    <row r="99" spans="1:12" s="149" customFormat="1" x14ac:dyDescent="0.25">
      <c r="A99" s="260" t="s">
        <v>959</v>
      </c>
      <c r="B99" s="261" t="s">
        <v>190</v>
      </c>
      <c r="C99" s="262" t="s">
        <v>954</v>
      </c>
      <c r="D99" s="263"/>
      <c r="E99" s="264"/>
      <c r="F99" s="583"/>
      <c r="G99" s="264"/>
      <c r="H99" s="263">
        <v>286.67</v>
      </c>
      <c r="I99" s="264">
        <v>409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954</v>
      </c>
      <c r="D100" s="263"/>
      <c r="E100" s="264"/>
      <c r="F100" s="583"/>
      <c r="G100" s="264"/>
      <c r="H100" s="263">
        <v>33.659999999999997</v>
      </c>
      <c r="I100" s="264">
        <v>16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954</v>
      </c>
      <c r="D101" s="263"/>
      <c r="E101" s="264"/>
      <c r="F101" s="583"/>
      <c r="G101" s="264"/>
      <c r="H101" s="263">
        <v>37.4</v>
      </c>
      <c r="I101" s="264">
        <v>27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954</v>
      </c>
      <c r="D102" s="263"/>
      <c r="E102" s="264"/>
      <c r="F102" s="583"/>
      <c r="G102" s="264"/>
      <c r="H102" s="263">
        <v>44.87</v>
      </c>
      <c r="I102" s="264">
        <v>41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954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954</v>
      </c>
      <c r="D104" s="263"/>
      <c r="E104" s="264"/>
      <c r="F104" s="583"/>
      <c r="G104" s="264"/>
      <c r="H104" s="263">
        <v>61.43</v>
      </c>
      <c r="I104" s="264">
        <v>72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954</v>
      </c>
      <c r="D105" s="263"/>
      <c r="E105" s="264"/>
      <c r="F105" s="583"/>
      <c r="G105" s="264"/>
      <c r="H105" s="263">
        <v>33.659999999999997</v>
      </c>
      <c r="I105" s="264">
        <v>1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954</v>
      </c>
      <c r="D106" s="263"/>
      <c r="E106" s="264"/>
      <c r="F106" s="583"/>
      <c r="G106" s="264"/>
      <c r="H106" s="263">
        <v>160.1</v>
      </c>
      <c r="I106" s="264">
        <v>229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954</v>
      </c>
      <c r="D107" s="263"/>
      <c r="E107" s="264"/>
      <c r="F107" s="583"/>
      <c r="G107" s="264"/>
      <c r="H107" s="263">
        <v>65.17</v>
      </c>
      <c r="I107" s="264">
        <v>79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954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954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954</v>
      </c>
      <c r="D110" s="263"/>
      <c r="E110" s="264"/>
      <c r="F110" s="583"/>
      <c r="G110" s="264"/>
      <c r="H110" s="263">
        <v>33.659999999999997</v>
      </c>
      <c r="I110" s="264">
        <v>19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954</v>
      </c>
      <c r="D111" s="263"/>
      <c r="E111" s="264"/>
      <c r="F111" s="583"/>
      <c r="G111" s="264"/>
      <c r="H111" s="263">
        <v>427.43</v>
      </c>
      <c r="I111" s="264">
        <v>593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954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954</v>
      </c>
      <c r="D113" s="263"/>
      <c r="E113" s="264"/>
      <c r="F113" s="583"/>
      <c r="G113" s="264"/>
      <c r="H113" s="263">
        <v>33.659999999999997</v>
      </c>
      <c r="I113" s="264">
        <v>9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954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954</v>
      </c>
      <c r="D115" s="263"/>
      <c r="E115" s="264"/>
      <c r="F115" s="583"/>
      <c r="G115" s="264"/>
      <c r="H115" s="263">
        <v>33.659999999999997</v>
      </c>
      <c r="I115" s="264">
        <v>19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6" t="s">
        <v>954</v>
      </c>
      <c r="D116" s="263"/>
      <c r="E116" s="264"/>
      <c r="F116" s="583"/>
      <c r="G116" s="264"/>
      <c r="H116" s="263">
        <v>33.659999999999997</v>
      </c>
      <c r="I116" s="264">
        <v>2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954</v>
      </c>
      <c r="D117" s="263"/>
      <c r="E117" s="264"/>
      <c r="F117" s="583"/>
      <c r="G117" s="264"/>
      <c r="H117" s="263">
        <v>1487.72</v>
      </c>
      <c r="I117" s="264">
        <v>1979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954</v>
      </c>
      <c r="D118" s="263"/>
      <c r="E118" s="264"/>
      <c r="F118" s="583"/>
      <c r="G118" s="264"/>
      <c r="H118" s="263">
        <v>670.7</v>
      </c>
      <c r="I118" s="264">
        <v>911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954</v>
      </c>
      <c r="D119" s="263"/>
      <c r="E119" s="264"/>
      <c r="F119" s="583"/>
      <c r="G119" s="264"/>
      <c r="H119" s="263">
        <v>55.55</v>
      </c>
      <c r="I119" s="264">
        <v>61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954</v>
      </c>
      <c r="D120" s="263"/>
      <c r="E120" s="264"/>
      <c r="F120" s="583"/>
      <c r="G120" s="264"/>
      <c r="H120" s="263">
        <v>48.61</v>
      </c>
      <c r="I120" s="264">
        <v>48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2" t="s">
        <v>954</v>
      </c>
      <c r="D121" s="263"/>
      <c r="E121" s="264"/>
      <c r="F121" s="583"/>
      <c r="G121" s="264"/>
      <c r="H121" s="263">
        <v>42.74</v>
      </c>
      <c r="I121" s="264">
        <v>37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954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954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84" customFormat="1" x14ac:dyDescent="0.25">
      <c r="A124" s="267" t="s">
        <v>104</v>
      </c>
      <c r="B124" s="268" t="s">
        <v>195</v>
      </c>
      <c r="C124" s="245"/>
      <c r="D124" s="269"/>
      <c r="E124" s="270"/>
      <c r="F124" s="544"/>
      <c r="G124" s="270"/>
      <c r="H124" s="269"/>
      <c r="I124" s="270"/>
      <c r="J124" s="245"/>
      <c r="K124" s="246"/>
      <c r="L124" s="246"/>
    </row>
    <row r="125" spans="1:12" s="149" customFormat="1" x14ac:dyDescent="0.25">
      <c r="A125" s="260" t="s">
        <v>105</v>
      </c>
      <c r="B125" s="261" t="s">
        <v>196</v>
      </c>
      <c r="C125" s="262" t="s">
        <v>954</v>
      </c>
      <c r="D125" s="263"/>
      <c r="E125" s="264"/>
      <c r="F125" s="583"/>
      <c r="G125" s="264"/>
      <c r="H125" s="263">
        <v>50.49</v>
      </c>
      <c r="I125" s="264">
        <v>2</v>
      </c>
      <c r="J125" s="262"/>
      <c r="K125" s="265"/>
      <c r="L125" s="265"/>
    </row>
    <row r="126" spans="1:12" s="149" customFormat="1" x14ac:dyDescent="0.25">
      <c r="A126" s="260" t="s">
        <v>68</v>
      </c>
      <c r="B126" s="261" t="s">
        <v>166</v>
      </c>
      <c r="C126" s="262" t="s">
        <v>954</v>
      </c>
      <c r="D126" s="263"/>
      <c r="E126" s="264"/>
      <c r="F126" s="583"/>
      <c r="G126" s="264"/>
      <c r="H126" s="263">
        <v>43.81</v>
      </c>
      <c r="I126" s="264">
        <v>39</v>
      </c>
      <c r="J126" s="262"/>
      <c r="K126" s="265"/>
      <c r="L126" s="265"/>
    </row>
    <row r="127" spans="1:12" s="184" customFormat="1" x14ac:dyDescent="0.25">
      <c r="A127" s="267" t="s">
        <v>46</v>
      </c>
      <c r="B127" s="268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6"/>
      <c r="L127" s="246"/>
    </row>
    <row r="128" spans="1:12" s="149" customFormat="1" x14ac:dyDescent="0.25">
      <c r="A128" s="260" t="s">
        <v>17</v>
      </c>
      <c r="B128" s="261" t="s">
        <v>192</v>
      </c>
      <c r="C128" s="262" t="s">
        <v>954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47</v>
      </c>
      <c r="B129" s="261" t="s">
        <v>139</v>
      </c>
      <c r="C129" s="262" t="s">
        <v>961</v>
      </c>
      <c r="D129" s="263"/>
      <c r="E129" s="264"/>
      <c r="F129" s="583"/>
      <c r="G129" s="264"/>
      <c r="H129" s="263">
        <v>51.82</v>
      </c>
      <c r="I129" s="264">
        <v>54</v>
      </c>
      <c r="J129" s="262"/>
      <c r="K129" s="265"/>
      <c r="L129" s="265"/>
    </row>
    <row r="130" spans="1:12" s="149" customFormat="1" x14ac:dyDescent="0.25">
      <c r="A130" s="260" t="s">
        <v>64</v>
      </c>
      <c r="B130" s="261" t="s">
        <v>191</v>
      </c>
      <c r="C130" s="262" t="s">
        <v>954</v>
      </c>
      <c r="D130" s="263"/>
      <c r="E130" s="264"/>
      <c r="F130" s="583"/>
      <c r="G130" s="264"/>
      <c r="H130" s="263">
        <v>199.86</v>
      </c>
      <c r="I130" s="264">
        <v>158.80000000000001</v>
      </c>
      <c r="J130" s="262"/>
      <c r="K130" s="265"/>
      <c r="L130" s="265"/>
    </row>
    <row r="131" spans="1:12" s="149" customFormat="1" x14ac:dyDescent="0.25">
      <c r="A131" s="260" t="s">
        <v>130</v>
      </c>
      <c r="B131" s="261" t="s">
        <v>131</v>
      </c>
      <c r="C131" s="262" t="s">
        <v>961</v>
      </c>
      <c r="D131" s="263"/>
      <c r="E131" s="264"/>
      <c r="F131" s="583"/>
      <c r="G131" s="264"/>
      <c r="H131" s="263">
        <v>1462.47</v>
      </c>
      <c r="I131" s="264">
        <v>1946</v>
      </c>
      <c r="J131" s="262"/>
      <c r="K131" s="265"/>
      <c r="L131" s="265"/>
    </row>
    <row r="132" spans="1:12" s="149" customFormat="1" x14ac:dyDescent="0.25">
      <c r="A132" s="260" t="s">
        <v>134</v>
      </c>
      <c r="B132" s="261" t="s">
        <v>133</v>
      </c>
      <c r="C132" s="262" t="s">
        <v>961</v>
      </c>
      <c r="D132" s="263"/>
      <c r="E132" s="264"/>
      <c r="F132" s="583"/>
      <c r="G132" s="264"/>
      <c r="H132" s="263">
        <v>35.799999999999997</v>
      </c>
      <c r="I132" s="264">
        <v>24</v>
      </c>
      <c r="J132" s="262"/>
      <c r="K132" s="265"/>
      <c r="L132" s="265"/>
    </row>
    <row r="133" spans="1:12" s="149" customFormat="1" x14ac:dyDescent="0.25">
      <c r="A133" s="260" t="s">
        <v>543</v>
      </c>
      <c r="B133" s="261" t="s">
        <v>135</v>
      </c>
      <c r="C133" s="262" t="s">
        <v>961</v>
      </c>
      <c r="D133" s="263"/>
      <c r="E133" s="264"/>
      <c r="F133" s="583"/>
      <c r="G133" s="264"/>
      <c r="H133" s="263">
        <v>1994.91</v>
      </c>
      <c r="I133" s="264">
        <v>2642</v>
      </c>
      <c r="J133" s="262"/>
      <c r="K133" s="265"/>
      <c r="L133" s="265"/>
    </row>
    <row r="134" spans="1:12" s="149" customFormat="1" x14ac:dyDescent="0.25">
      <c r="A134" s="260" t="s">
        <v>137</v>
      </c>
      <c r="B134" s="261" t="s">
        <v>138</v>
      </c>
      <c r="C134" s="262" t="s">
        <v>961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140</v>
      </c>
      <c r="B135" s="261" t="s">
        <v>141</v>
      </c>
      <c r="C135" s="266" t="s">
        <v>961</v>
      </c>
      <c r="D135" s="263"/>
      <c r="E135" s="264"/>
      <c r="F135" s="583"/>
      <c r="G135" s="264"/>
      <c r="H135" s="263">
        <v>34.19</v>
      </c>
      <c r="I135" s="264">
        <v>21</v>
      </c>
      <c r="J135" s="262"/>
      <c r="K135" s="265"/>
      <c r="L135" s="265"/>
    </row>
    <row r="136" spans="1:12" s="184" customFormat="1" x14ac:dyDescent="0.25">
      <c r="A136" s="267" t="s">
        <v>142</v>
      </c>
      <c r="B136" s="268" t="s">
        <v>143</v>
      </c>
      <c r="C136" s="245"/>
      <c r="D136" s="269"/>
      <c r="E136" s="270"/>
      <c r="F136" s="544"/>
      <c r="G136" s="270"/>
      <c r="H136" s="269"/>
      <c r="I136" s="270"/>
      <c r="J136" s="245"/>
      <c r="K136" s="246"/>
      <c r="L136" s="246"/>
    </row>
    <row r="137" spans="1:12" s="184" customFormat="1" x14ac:dyDescent="0.25">
      <c r="A137" s="267" t="s">
        <v>587</v>
      </c>
      <c r="B137" s="268" t="s">
        <v>145</v>
      </c>
      <c r="C137" s="245"/>
      <c r="D137" s="269"/>
      <c r="E137" s="270"/>
      <c r="F137" s="544"/>
      <c r="G137" s="270"/>
      <c r="H137" s="269"/>
      <c r="I137" s="270"/>
      <c r="J137" s="245"/>
      <c r="K137" s="246"/>
      <c r="L137" s="246"/>
    </row>
    <row r="138" spans="1:12" s="184" customFormat="1" x14ac:dyDescent="0.25">
      <c r="A138" s="267" t="s">
        <v>588</v>
      </c>
      <c r="B138" s="268" t="s">
        <v>147</v>
      </c>
      <c r="C138" s="245"/>
      <c r="D138" s="269"/>
      <c r="E138" s="270"/>
      <c r="F138" s="544"/>
      <c r="G138" s="270"/>
      <c r="H138" s="269"/>
      <c r="I138" s="270"/>
      <c r="J138" s="245"/>
      <c r="K138" s="246"/>
      <c r="L138" s="246"/>
    </row>
    <row r="139" spans="1:12" s="184" customFormat="1" x14ac:dyDescent="0.25">
      <c r="A139" s="267" t="s">
        <v>176</v>
      </c>
      <c r="B139" s="268" t="s">
        <v>165</v>
      </c>
      <c r="C139" s="245" t="s">
        <v>961</v>
      </c>
      <c r="D139" s="269"/>
      <c r="E139" s="270"/>
      <c r="F139" s="544"/>
      <c r="G139" s="270"/>
      <c r="H139" s="269">
        <v>375.41</v>
      </c>
      <c r="I139" s="270">
        <v>525</v>
      </c>
      <c r="J139" s="245"/>
      <c r="K139" s="246"/>
      <c r="L139" s="246"/>
    </row>
    <row r="140" spans="1:12" s="199" customFormat="1" x14ac:dyDescent="0.25">
      <c r="A140" s="280" t="s">
        <v>433</v>
      </c>
      <c r="B140" s="281"/>
      <c r="C140" s="249"/>
      <c r="D140" s="250"/>
      <c r="E140" s="251"/>
      <c r="F140" s="543"/>
      <c r="G140" s="251"/>
      <c r="H140" s="250"/>
      <c r="I140" s="251"/>
      <c r="J140" s="249"/>
      <c r="K140" s="253"/>
      <c r="L140" s="253"/>
    </row>
    <row r="141" spans="1:12" s="149" customFormat="1" x14ac:dyDescent="0.25">
      <c r="A141" s="260" t="s">
        <v>107</v>
      </c>
      <c r="B141" s="261">
        <v>67</v>
      </c>
      <c r="C141" s="262" t="s">
        <v>954</v>
      </c>
      <c r="D141" s="263"/>
      <c r="E141" s="264"/>
      <c r="F141" s="583"/>
      <c r="G141" s="264"/>
      <c r="H141" s="263">
        <v>60</v>
      </c>
      <c r="I141" s="264">
        <v>800</v>
      </c>
      <c r="J141" s="262"/>
      <c r="K141" s="265"/>
      <c r="L141" s="265"/>
    </row>
    <row r="142" spans="1:12" s="149" customFormat="1" x14ac:dyDescent="0.25">
      <c r="A142" s="260" t="s">
        <v>109</v>
      </c>
      <c r="B142" s="261">
        <v>95</v>
      </c>
      <c r="C142" s="262" t="s">
        <v>954</v>
      </c>
      <c r="D142" s="263"/>
      <c r="E142" s="264"/>
      <c r="F142" s="583"/>
      <c r="G142" s="264"/>
      <c r="H142" s="263">
        <v>50</v>
      </c>
      <c r="I142" s="264">
        <v>100</v>
      </c>
      <c r="J142" s="262"/>
      <c r="K142" s="265"/>
      <c r="L142" s="265"/>
    </row>
    <row r="143" spans="1:12" s="199" customFormat="1" x14ac:dyDescent="0.25">
      <c r="A143" s="247" t="s">
        <v>432</v>
      </c>
      <c r="B143" s="248"/>
      <c r="C143" s="249"/>
      <c r="D143" s="250"/>
      <c r="E143" s="251"/>
      <c r="F143" s="543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156</v>
      </c>
      <c r="B144" s="291">
        <v>61</v>
      </c>
      <c r="C144" s="266">
        <v>42926</v>
      </c>
      <c r="D144" s="263"/>
      <c r="E144" s="264"/>
      <c r="F144" s="583"/>
      <c r="G144" s="264"/>
      <c r="H144" s="263">
        <v>35.18</v>
      </c>
      <c r="I144" s="264">
        <v>80</v>
      </c>
      <c r="J144" s="262"/>
      <c r="K144" s="265"/>
      <c r="L144" s="265"/>
    </row>
    <row r="145" spans="1:12" s="199" customFormat="1" x14ac:dyDescent="0.25">
      <c r="A145" s="280" t="s">
        <v>431</v>
      </c>
      <c r="B145" s="281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84" customFormat="1" ht="26.25" x14ac:dyDescent="0.25">
      <c r="A146" s="267" t="s">
        <v>40</v>
      </c>
      <c r="B146" s="268">
        <v>95</v>
      </c>
      <c r="C146" s="289"/>
      <c r="D146" s="269"/>
      <c r="E146" s="270"/>
      <c r="F146" s="544"/>
      <c r="G146" s="270"/>
      <c r="H146" s="269"/>
      <c r="I146" s="270"/>
      <c r="J146" s="245"/>
      <c r="K146" s="246"/>
      <c r="L146" s="246"/>
    </row>
    <row r="147" spans="1:12" s="199" customFormat="1" ht="26.25" x14ac:dyDescent="0.25">
      <c r="A147" s="280" t="s">
        <v>430</v>
      </c>
      <c r="B147" s="302"/>
      <c r="C147" s="303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355</v>
      </c>
      <c r="B148" s="261" t="s">
        <v>356</v>
      </c>
      <c r="C148" s="266" t="s">
        <v>962</v>
      </c>
      <c r="D148" s="263"/>
      <c r="E148" s="264"/>
      <c r="F148" s="583"/>
      <c r="G148" s="264"/>
      <c r="H148" s="263">
        <v>53.7</v>
      </c>
      <c r="I148" s="264">
        <v>93390</v>
      </c>
      <c r="J148" s="262"/>
      <c r="K148" s="265"/>
      <c r="L148" s="265"/>
    </row>
    <row r="149" spans="1:12" s="184" customFormat="1" ht="46.5" customHeight="1" x14ac:dyDescent="0.25">
      <c r="A149" s="559"/>
      <c r="B149" s="559"/>
      <c r="C149" s="559"/>
      <c r="D149" s="560"/>
      <c r="E149" s="561"/>
      <c r="F149" s="562"/>
      <c r="G149" s="561"/>
      <c r="H149" s="560"/>
      <c r="I149" s="561"/>
      <c r="J149" s="560"/>
      <c r="K149" s="246"/>
      <c r="L149" s="246"/>
    </row>
    <row r="150" spans="1:12" s="184" customFormat="1" x14ac:dyDescent="0.25">
      <c r="A150" s="245"/>
      <c r="B150" s="245"/>
      <c r="C150" s="245"/>
      <c r="D150" s="245"/>
      <c r="E150" s="270"/>
      <c r="F150" s="544"/>
      <c r="G150" s="270"/>
      <c r="H150" s="245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45"/>
      <c r="E151" s="270"/>
      <c r="F151" s="544"/>
      <c r="G151" s="270"/>
      <c r="H151" s="245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45"/>
      <c r="E152" s="270"/>
      <c r="F152" s="544"/>
      <c r="G152" s="270"/>
      <c r="H152" s="245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45"/>
      <c r="E153" s="270"/>
      <c r="F153" s="544"/>
      <c r="G153" s="270"/>
      <c r="H153" s="245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544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544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544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544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544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544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544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544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544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544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544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544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544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544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544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544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544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544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544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544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544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544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544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544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544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544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544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544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544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544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544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544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544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544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544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544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544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544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544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544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544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544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544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544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544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544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544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544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544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544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544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544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544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544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544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544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544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544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544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544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544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544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544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544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544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544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544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544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544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544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544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544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544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544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544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544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544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544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544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544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544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544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544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544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544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544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544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544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544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544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544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544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544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544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544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544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544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544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544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544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544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544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544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544"/>
      <c r="G257" s="270"/>
      <c r="H257" s="245"/>
      <c r="I257" s="270"/>
      <c r="J257" s="245"/>
      <c r="K257" s="246"/>
      <c r="L257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958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10"/>
      <c r="B4" s="611"/>
      <c r="C4" s="611"/>
      <c r="D4" s="611"/>
      <c r="E4" s="611"/>
      <c r="F4" s="611"/>
      <c r="G4" s="61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260545.34</v>
      </c>
      <c r="D13" s="34"/>
      <c r="E13" s="35" t="s">
        <v>33</v>
      </c>
      <c r="F13" s="34"/>
      <c r="G13" s="42">
        <v>23525.48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2031</v>
      </c>
      <c r="D15" s="34"/>
      <c r="E15" s="35" t="s">
        <v>10</v>
      </c>
      <c r="F15" s="34"/>
      <c r="G15" s="42">
        <v>1647.91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18837</v>
      </c>
      <c r="D17" s="34"/>
      <c r="E17" s="35" t="s">
        <v>278</v>
      </c>
      <c r="F17" s="34"/>
      <c r="G17" s="42">
        <v>6627.7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261"/>
  <sheetViews>
    <sheetView zoomScaleNormal="100" workbookViewId="0">
      <pane ySplit="2" topLeftCell="A15" activePane="bottomLeft" state="frozen"/>
      <selection pane="bottomLeft" activeCell="A41" sqref="A41"/>
    </sheetView>
  </sheetViews>
  <sheetFormatPr defaultRowHeight="15" x14ac:dyDescent="0.25"/>
  <cols>
    <col min="1" max="1" width="41.28515625" style="293" customWidth="1"/>
    <col min="2" max="2" width="14.7109375" style="293" customWidth="1"/>
    <col min="3" max="3" width="23.5703125" style="293" customWidth="1"/>
    <col min="4" max="4" width="10" style="293" customWidth="1"/>
    <col min="5" max="5" width="11" style="294" customWidth="1"/>
    <col min="6" max="6" width="10.5703125" style="575" customWidth="1"/>
    <col min="7" max="7" width="9" style="294" customWidth="1"/>
    <col min="8" max="8" width="10" style="293" customWidth="1"/>
    <col min="9" max="9" width="10" style="294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922</v>
      </c>
      <c r="D3" s="257"/>
      <c r="E3" s="258"/>
      <c r="F3" s="257">
        <v>1005.77</v>
      </c>
      <c r="G3" s="258">
        <v>1728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924</v>
      </c>
      <c r="D4" s="263"/>
      <c r="E4" s="264"/>
      <c r="F4" s="263">
        <v>60.56</v>
      </c>
      <c r="G4" s="264">
        <v>29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923</v>
      </c>
      <c r="D5" s="257"/>
      <c r="E5" s="258"/>
      <c r="F5" s="257">
        <v>72.790000000000006</v>
      </c>
      <c r="G5" s="258">
        <v>51</v>
      </c>
      <c r="H5" s="257"/>
      <c r="I5" s="258"/>
      <c r="J5" s="256" t="s">
        <v>10</v>
      </c>
      <c r="K5" s="259"/>
      <c r="L5" s="259"/>
    </row>
    <row r="6" spans="1:12" s="184" customFormat="1" x14ac:dyDescent="0.25">
      <c r="A6" s="267" t="s">
        <v>37</v>
      </c>
      <c r="B6" s="268">
        <v>4005211270</v>
      </c>
      <c r="C6" s="245"/>
      <c r="D6" s="269"/>
      <c r="E6" s="270"/>
      <c r="F6" s="269"/>
      <c r="G6" s="270"/>
      <c r="H6" s="269"/>
      <c r="I6" s="270"/>
      <c r="J6" s="245" t="s">
        <v>10</v>
      </c>
      <c r="K6" s="246"/>
      <c r="L6" s="246"/>
    </row>
    <row r="7" spans="1:12" s="149" customFormat="1" x14ac:dyDescent="0.25">
      <c r="A7" s="260" t="s">
        <v>41</v>
      </c>
      <c r="B7" s="261">
        <v>3044004323</v>
      </c>
      <c r="C7" s="262" t="s">
        <v>922</v>
      </c>
      <c r="D7" s="263"/>
      <c r="E7" s="264"/>
      <c r="F7" s="263">
        <v>89.34</v>
      </c>
      <c r="G7" s="264">
        <v>72</v>
      </c>
      <c r="H7" s="263"/>
      <c r="I7" s="264"/>
      <c r="J7" s="262" t="s">
        <v>10</v>
      </c>
      <c r="K7" s="265"/>
      <c r="L7" s="265"/>
    </row>
    <row r="8" spans="1:12" s="149" customFormat="1" ht="21" customHeight="1" x14ac:dyDescent="0.25">
      <c r="A8" s="260" t="s">
        <v>42</v>
      </c>
      <c r="B8" s="261">
        <v>3029257704</v>
      </c>
      <c r="C8" s="262" t="s">
        <v>922</v>
      </c>
      <c r="D8" s="263"/>
      <c r="E8" s="264"/>
      <c r="F8" s="263">
        <v>53</v>
      </c>
      <c r="G8" s="264">
        <v>0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924</v>
      </c>
      <c r="D9" s="263"/>
      <c r="E9" s="264"/>
      <c r="F9" s="263">
        <v>2.0299999999999998</v>
      </c>
      <c r="G9" s="264">
        <v>45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924</v>
      </c>
      <c r="D10" s="263"/>
      <c r="E10" s="264"/>
      <c r="F10" s="263">
        <v>58.89</v>
      </c>
      <c r="G10" s="264">
        <v>26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922</v>
      </c>
      <c r="D11" s="263"/>
      <c r="E11" s="264"/>
      <c r="F11" s="263">
        <v>53.51</v>
      </c>
      <c r="G11" s="264">
        <v>1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924</v>
      </c>
      <c r="D12" s="263"/>
      <c r="E12" s="264"/>
      <c r="F12" s="263">
        <v>44.43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924</v>
      </c>
      <c r="D13" s="263"/>
      <c r="E13" s="264"/>
      <c r="F13" s="263">
        <v>66.680000000000007</v>
      </c>
      <c r="G13" s="264">
        <v>40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6" t="s">
        <v>924</v>
      </c>
      <c r="D14" s="263"/>
      <c r="E14" s="264"/>
      <c r="F14" s="263">
        <v>52.76</v>
      </c>
      <c r="G14" s="264">
        <v>15</v>
      </c>
      <c r="H14" s="263"/>
      <c r="I14" s="264"/>
      <c r="J14" s="262" t="s">
        <v>10</v>
      </c>
      <c r="K14" s="265"/>
      <c r="L14" s="265"/>
    </row>
    <row r="15" spans="1:12" s="184" customFormat="1" x14ac:dyDescent="0.25">
      <c r="A15" s="267" t="s">
        <v>65</v>
      </c>
      <c r="B15" s="268">
        <v>3023110891</v>
      </c>
      <c r="C15" s="245" t="s">
        <v>952</v>
      </c>
      <c r="D15" s="269"/>
      <c r="E15" s="270"/>
      <c r="F15" s="269"/>
      <c r="G15" s="270"/>
      <c r="H15" s="269"/>
      <c r="I15" s="270"/>
      <c r="J15" s="245" t="s">
        <v>10</v>
      </c>
      <c r="K15" s="246"/>
      <c r="L15" s="246"/>
    </row>
    <row r="16" spans="1:12" s="149" customFormat="1" x14ac:dyDescent="0.25">
      <c r="A16" s="260" t="s">
        <v>69</v>
      </c>
      <c r="B16" s="261">
        <v>3022125574</v>
      </c>
      <c r="C16" s="262" t="s">
        <v>926</v>
      </c>
      <c r="D16" s="263"/>
      <c r="E16" s="264"/>
      <c r="F16" s="263">
        <v>40.590000000000003</v>
      </c>
      <c r="G16" s="264">
        <v>24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926</v>
      </c>
      <c r="D17" s="263"/>
      <c r="E17" s="264"/>
      <c r="F17" s="263">
        <v>47.56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5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942</v>
      </c>
      <c r="D19" s="563">
        <v>26.52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942</v>
      </c>
      <c r="D20" s="563">
        <v>173.93</v>
      </c>
      <c r="E20" s="564">
        <v>600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942</v>
      </c>
      <c r="D21" s="563">
        <v>651.12</v>
      </c>
      <c r="E21" s="564">
        <v>4000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948</v>
      </c>
      <c r="D22" s="563">
        <v>17.649999999999999</v>
      </c>
      <c r="E22" s="564">
        <v>55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941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943</v>
      </c>
      <c r="D24" s="563">
        <v>67.099999999999994</v>
      </c>
      <c r="E24" s="564">
        <v>874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383</v>
      </c>
      <c r="B25" s="563">
        <v>5216006446</v>
      </c>
      <c r="C25" s="563" t="s">
        <v>943</v>
      </c>
      <c r="D25" s="563">
        <v>4456.8999999999996</v>
      </c>
      <c r="E25" s="564">
        <v>86200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50" customFormat="1" ht="15.75" x14ac:dyDescent="0.25">
      <c r="A26" s="546" t="s">
        <v>871</v>
      </c>
      <c r="B26" s="546">
        <v>5027654</v>
      </c>
      <c r="C26" s="546"/>
      <c r="D26" s="546"/>
      <c r="E26" s="547"/>
      <c r="F26" s="548"/>
      <c r="G26" s="547"/>
      <c r="H26" s="546"/>
      <c r="I26" s="547"/>
      <c r="J26" s="546"/>
      <c r="K26" s="549" t="s">
        <v>784</v>
      </c>
      <c r="L26" s="549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943</v>
      </c>
      <c r="D27" s="563">
        <v>431.64</v>
      </c>
      <c r="E27" s="564">
        <v>900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920</v>
      </c>
      <c r="D28" s="563">
        <v>334.21</v>
      </c>
      <c r="E28" s="564">
        <v>2400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942</v>
      </c>
      <c r="D29" s="563">
        <v>716.37</v>
      </c>
      <c r="E29" s="564">
        <v>7920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920</v>
      </c>
      <c r="D30" s="563">
        <v>559.69000000000005</v>
      </c>
      <c r="E30" s="564">
        <v>8005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942</v>
      </c>
      <c r="D31" s="563">
        <v>1093.44</v>
      </c>
      <c r="E31" s="564">
        <v>13860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942</v>
      </c>
      <c r="D32" s="563">
        <v>14.78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942</v>
      </c>
      <c r="D33" s="563">
        <v>21.1</v>
      </c>
      <c r="E33" s="564">
        <v>150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946</v>
      </c>
      <c r="D34" s="563">
        <v>21.11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944</v>
      </c>
      <c r="D35" s="563">
        <v>163.5</v>
      </c>
      <c r="E35" s="564">
        <v>460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944</v>
      </c>
      <c r="D36" s="563">
        <v>28.66</v>
      </c>
      <c r="E36" s="564">
        <v>235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943</v>
      </c>
      <c r="D37" s="563">
        <v>325.36</v>
      </c>
      <c r="E37" s="564">
        <v>3834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920</v>
      </c>
      <c r="D38" s="563">
        <v>71.86</v>
      </c>
      <c r="E38" s="564">
        <v>31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944</v>
      </c>
      <c r="D39" s="563">
        <v>21.89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946</v>
      </c>
      <c r="D40" s="563">
        <v>44.27</v>
      </c>
      <c r="E40" s="564">
        <v>493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948</v>
      </c>
      <c r="D41" s="563">
        <v>17.350000000000001</v>
      </c>
      <c r="E41" s="564">
        <v>50</v>
      </c>
      <c r="F41" s="604"/>
      <c r="G41" s="564"/>
      <c r="H41" s="563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5216006470</v>
      </c>
      <c r="C42" s="563" t="s">
        <v>942</v>
      </c>
      <c r="D42" s="563">
        <v>1295.79</v>
      </c>
      <c r="E42" s="564">
        <v>16200</v>
      </c>
      <c r="F42" s="604"/>
      <c r="G42" s="564"/>
      <c r="H42" s="563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942</v>
      </c>
      <c r="D43" s="563">
        <v>18.29</v>
      </c>
      <c r="E43" s="564">
        <v>80</v>
      </c>
      <c r="F43" s="604"/>
      <c r="G43" s="564"/>
      <c r="H43" s="563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943</v>
      </c>
      <c r="D44" s="563">
        <v>14.29</v>
      </c>
      <c r="E44" s="564">
        <v>0</v>
      </c>
      <c r="F44" s="604"/>
      <c r="G44" s="564"/>
      <c r="H44" s="563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944</v>
      </c>
      <c r="D45" s="563">
        <v>180.98</v>
      </c>
      <c r="E45" s="564">
        <v>873</v>
      </c>
      <c r="F45" s="604"/>
      <c r="G45" s="564"/>
      <c r="H45" s="563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942</v>
      </c>
      <c r="D46" s="563">
        <v>317.99</v>
      </c>
      <c r="E46" s="564">
        <v>1950</v>
      </c>
      <c r="F46" s="604"/>
      <c r="G46" s="564"/>
      <c r="H46" s="563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942</v>
      </c>
      <c r="D47" s="563">
        <v>235.49</v>
      </c>
      <c r="E47" s="564">
        <v>980</v>
      </c>
      <c r="F47" s="604"/>
      <c r="G47" s="564"/>
      <c r="H47" s="563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835</v>
      </c>
      <c r="B48" s="563">
        <v>5216006464</v>
      </c>
      <c r="C48" s="563" t="s">
        <v>942</v>
      </c>
      <c r="D48" s="563">
        <v>15.24</v>
      </c>
      <c r="E48" s="564">
        <v>70</v>
      </c>
      <c r="F48" s="604"/>
      <c r="G48" s="564"/>
      <c r="H48" s="563"/>
      <c r="I48" s="564"/>
      <c r="J48" s="563"/>
      <c r="K48" s="605" t="s">
        <v>807</v>
      </c>
      <c r="L48" s="605">
        <v>5216006470</v>
      </c>
    </row>
    <row r="49" spans="1:12" s="565" customFormat="1" ht="15.75" x14ac:dyDescent="0.25">
      <c r="A49" s="563" t="s">
        <v>852</v>
      </c>
      <c r="B49" s="563">
        <v>5216006471</v>
      </c>
      <c r="C49" s="563" t="s">
        <v>944</v>
      </c>
      <c r="D49" s="563">
        <v>21.89</v>
      </c>
      <c r="E49" s="564">
        <v>150</v>
      </c>
      <c r="F49" s="604"/>
      <c r="G49" s="564"/>
      <c r="H49" s="563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920</v>
      </c>
      <c r="D50" s="563">
        <v>26.45</v>
      </c>
      <c r="E50" s="564">
        <v>160</v>
      </c>
      <c r="F50" s="604"/>
      <c r="G50" s="564"/>
      <c r="H50" s="563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946</v>
      </c>
      <c r="D51" s="563">
        <v>106.81</v>
      </c>
      <c r="E51" s="564">
        <v>1314</v>
      </c>
      <c r="F51" s="604"/>
      <c r="G51" s="564"/>
      <c r="H51" s="563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944</v>
      </c>
      <c r="D52" s="563">
        <v>74.989999999999995</v>
      </c>
      <c r="E52" s="564"/>
      <c r="F52" s="604"/>
      <c r="G52" s="564"/>
      <c r="H52" s="563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947</v>
      </c>
      <c r="D53" s="563">
        <v>21.1</v>
      </c>
      <c r="E53" s="564">
        <v>150</v>
      </c>
      <c r="F53" s="604"/>
      <c r="G53" s="564"/>
      <c r="H53" s="563"/>
      <c r="I53" s="564"/>
      <c r="J53" s="563"/>
      <c r="K53" s="605" t="s">
        <v>812</v>
      </c>
      <c r="L53" s="605">
        <v>5216006475</v>
      </c>
    </row>
    <row r="54" spans="1:12" s="550" customFormat="1" ht="15.75" x14ac:dyDescent="0.25">
      <c r="A54" s="546" t="s">
        <v>846</v>
      </c>
      <c r="B54" s="546">
        <v>5074402</v>
      </c>
      <c r="C54" s="546"/>
      <c r="D54" s="546"/>
      <c r="E54" s="547"/>
      <c r="F54" s="548"/>
      <c r="G54" s="547"/>
      <c r="H54" s="546"/>
      <c r="I54" s="547"/>
      <c r="J54" s="546"/>
      <c r="K54" s="549" t="s">
        <v>813</v>
      </c>
      <c r="L54" s="549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920</v>
      </c>
      <c r="D55" s="563">
        <v>16.920000000000002</v>
      </c>
      <c r="E55" s="564">
        <v>43</v>
      </c>
      <c r="F55" s="604"/>
      <c r="G55" s="564"/>
      <c r="H55" s="563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945</v>
      </c>
      <c r="D56" s="563">
        <v>27.62</v>
      </c>
      <c r="E56" s="564">
        <v>219</v>
      </c>
      <c r="F56" s="604"/>
      <c r="G56" s="564"/>
      <c r="H56" s="563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948</v>
      </c>
      <c r="D57" s="563">
        <v>104.66</v>
      </c>
      <c r="E57" s="564">
        <v>770</v>
      </c>
      <c r="F57" s="604"/>
      <c r="G57" s="564"/>
      <c r="H57" s="563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944</v>
      </c>
      <c r="D58" s="563">
        <v>586.48</v>
      </c>
      <c r="E58" s="564">
        <v>7560</v>
      </c>
      <c r="F58" s="604"/>
      <c r="G58" s="564"/>
      <c r="H58" s="563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920</v>
      </c>
      <c r="D59" s="563">
        <v>201.21</v>
      </c>
      <c r="E59" s="564">
        <v>1926</v>
      </c>
      <c r="F59" s="604"/>
      <c r="G59" s="564"/>
      <c r="H59" s="563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946</v>
      </c>
      <c r="D60" s="563">
        <v>21.53</v>
      </c>
      <c r="E60" s="564">
        <v>119</v>
      </c>
      <c r="F60" s="604"/>
      <c r="G60" s="564"/>
      <c r="H60" s="563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944</v>
      </c>
      <c r="D61" s="563">
        <v>132.52000000000001</v>
      </c>
      <c r="E61" s="564">
        <v>1937</v>
      </c>
      <c r="F61" s="604"/>
      <c r="G61" s="564"/>
      <c r="H61" s="563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942</v>
      </c>
      <c r="D62" s="563">
        <v>389.09</v>
      </c>
      <c r="E62" s="564">
        <v>3302</v>
      </c>
      <c r="F62" s="604"/>
      <c r="G62" s="564"/>
      <c r="H62" s="563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942</v>
      </c>
      <c r="D63" s="563">
        <v>24.19</v>
      </c>
      <c r="E63" s="564">
        <v>140</v>
      </c>
      <c r="F63" s="604"/>
      <c r="G63" s="564"/>
      <c r="H63" s="563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948</v>
      </c>
      <c r="D64" s="563">
        <v>14.29</v>
      </c>
      <c r="E64" s="564">
        <v>0</v>
      </c>
      <c r="F64" s="604"/>
      <c r="G64" s="564"/>
      <c r="H64" s="563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942</v>
      </c>
      <c r="D65" s="563">
        <v>1042.55</v>
      </c>
      <c r="E65" s="564">
        <v>10050</v>
      </c>
      <c r="F65" s="604"/>
      <c r="G65" s="564"/>
      <c r="H65" s="563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943</v>
      </c>
      <c r="D66" s="563">
        <v>30.14</v>
      </c>
      <c r="E66" s="564">
        <v>260</v>
      </c>
      <c r="F66" s="604"/>
      <c r="G66" s="564"/>
      <c r="H66" s="563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943</v>
      </c>
      <c r="D67" s="563">
        <v>15.52</v>
      </c>
      <c r="E67" s="564">
        <v>20</v>
      </c>
      <c r="F67" s="604"/>
      <c r="G67" s="564"/>
      <c r="H67" s="563"/>
      <c r="I67" s="564"/>
      <c r="J67" s="563"/>
      <c r="K67" s="605" t="s">
        <v>826</v>
      </c>
      <c r="L67" s="605">
        <v>5216006489</v>
      </c>
    </row>
    <row r="68" spans="1:12" s="551" customFormat="1" ht="15.75" x14ac:dyDescent="0.25">
      <c r="A68" s="546" t="s">
        <v>862</v>
      </c>
      <c r="B68" s="546">
        <v>4426005</v>
      </c>
      <c r="C68" s="546"/>
      <c r="D68" s="546"/>
      <c r="E68" s="547"/>
      <c r="F68" s="548"/>
      <c r="G68" s="547"/>
      <c r="H68" s="546"/>
      <c r="I68" s="547"/>
      <c r="J68" s="546"/>
      <c r="K68" s="549" t="s">
        <v>824</v>
      </c>
      <c r="L68" s="549">
        <v>5216006487</v>
      </c>
    </row>
    <row r="69" spans="1:12" s="199" customFormat="1" ht="26.25" x14ac:dyDescent="0.25">
      <c r="A69" s="280" t="s">
        <v>878</v>
      </c>
      <c r="B69" s="281"/>
      <c r="C69" s="249"/>
      <c r="D69" s="250"/>
      <c r="E69" s="251"/>
      <c r="F69" s="543"/>
      <c r="G69" s="251"/>
      <c r="H69" s="250"/>
      <c r="I69" s="251"/>
      <c r="J69" s="249"/>
      <c r="K69" s="253"/>
      <c r="L69" s="253"/>
    </row>
    <row r="70" spans="1:12" s="149" customFormat="1" ht="26.25" x14ac:dyDescent="0.25">
      <c r="A70" s="260" t="s">
        <v>51</v>
      </c>
      <c r="B70" s="261" t="s">
        <v>208</v>
      </c>
      <c r="C70" s="266" t="s">
        <v>954</v>
      </c>
      <c r="D70" s="263">
        <v>400</v>
      </c>
      <c r="E70" s="264">
        <v>3731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52</v>
      </c>
      <c r="B71" s="261" t="s">
        <v>209</v>
      </c>
      <c r="C71" s="266" t="s">
        <v>954</v>
      </c>
      <c r="D71" s="263">
        <v>168</v>
      </c>
      <c r="E71" s="264">
        <v>1187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ht="26.25" x14ac:dyDescent="0.25">
      <c r="A72" s="260" t="s">
        <v>54</v>
      </c>
      <c r="B72" s="261">
        <v>7039100</v>
      </c>
      <c r="C72" s="266" t="s">
        <v>954</v>
      </c>
      <c r="D72" s="263">
        <v>92</v>
      </c>
      <c r="E72" s="264">
        <v>424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55</v>
      </c>
      <c r="B73" s="261" t="s">
        <v>212</v>
      </c>
      <c r="C73" s="266" t="s">
        <v>954</v>
      </c>
      <c r="D73" s="263">
        <v>40</v>
      </c>
      <c r="E73" s="264">
        <v>95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56</v>
      </c>
      <c r="B74" s="261" t="s">
        <v>213</v>
      </c>
      <c r="C74" s="266" t="s">
        <v>954</v>
      </c>
      <c r="D74" s="263">
        <v>38</v>
      </c>
      <c r="E74" s="264">
        <v>72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57</v>
      </c>
      <c r="B75" s="261" t="s">
        <v>214</v>
      </c>
      <c r="C75" s="266" t="s">
        <v>954</v>
      </c>
      <c r="D75" s="263">
        <v>263</v>
      </c>
      <c r="E75" s="264">
        <v>2151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58</v>
      </c>
      <c r="B76" s="261" t="s">
        <v>215</v>
      </c>
      <c r="C76" s="266" t="s">
        <v>954</v>
      </c>
      <c r="D76" s="263">
        <v>158</v>
      </c>
      <c r="E76" s="264">
        <v>1377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770</v>
      </c>
      <c r="B77" s="261" t="s">
        <v>216</v>
      </c>
      <c r="C77" s="266" t="s">
        <v>954</v>
      </c>
      <c r="D77" s="263">
        <v>55</v>
      </c>
      <c r="E77" s="264">
        <v>245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60</v>
      </c>
      <c r="B78" s="261" t="s">
        <v>217</v>
      </c>
      <c r="C78" s="266" t="s">
        <v>954</v>
      </c>
      <c r="D78" s="263">
        <v>86</v>
      </c>
      <c r="E78" s="264">
        <v>354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61</v>
      </c>
      <c r="B79" s="261" t="s">
        <v>218</v>
      </c>
      <c r="C79" s="266" t="s">
        <v>954</v>
      </c>
      <c r="D79" s="263">
        <v>31</v>
      </c>
      <c r="E79" s="264">
        <v>3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62</v>
      </c>
      <c r="B80" s="261" t="s">
        <v>219</v>
      </c>
      <c r="C80" s="266" t="s">
        <v>954</v>
      </c>
      <c r="D80" s="263">
        <v>35</v>
      </c>
      <c r="E80" s="264">
        <v>50</v>
      </c>
      <c r="F80" s="58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771</v>
      </c>
      <c r="B81" s="261">
        <v>1402294701</v>
      </c>
      <c r="C81" s="266" t="s">
        <v>954</v>
      </c>
      <c r="D81" s="263">
        <v>87.1</v>
      </c>
      <c r="E81" s="264">
        <v>375</v>
      </c>
      <c r="F81" s="583"/>
      <c r="G81" s="264"/>
      <c r="H81" s="263"/>
      <c r="I81" s="264"/>
      <c r="J81" s="262"/>
      <c r="K81" s="265"/>
      <c r="L81" s="265"/>
    </row>
    <row r="82" spans="1:12" s="148" customFormat="1" x14ac:dyDescent="0.25">
      <c r="A82" s="254" t="s">
        <v>621</v>
      </c>
      <c r="B82" s="255" t="s">
        <v>201</v>
      </c>
      <c r="C82" s="256" t="s">
        <v>954</v>
      </c>
      <c r="D82" s="257">
        <v>132</v>
      </c>
      <c r="E82" s="258">
        <v>855</v>
      </c>
      <c r="F82" s="586"/>
      <c r="G82" s="258"/>
      <c r="H82" s="257"/>
      <c r="I82" s="258"/>
      <c r="J82" s="256" t="s">
        <v>33</v>
      </c>
      <c r="K82" s="259"/>
      <c r="L82" s="259"/>
    </row>
    <row r="83" spans="1:12" s="149" customFormat="1" x14ac:dyDescent="0.25">
      <c r="A83" s="260" t="s">
        <v>768</v>
      </c>
      <c r="B83" s="261" t="s">
        <v>202</v>
      </c>
      <c r="C83" s="266" t="s">
        <v>954</v>
      </c>
      <c r="D83" s="263">
        <v>1664</v>
      </c>
      <c r="E83" s="264">
        <v>13080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96</v>
      </c>
      <c r="B84" s="261">
        <v>7815400</v>
      </c>
      <c r="C84" s="262" t="s">
        <v>954</v>
      </c>
      <c r="D84" s="263">
        <v>42</v>
      </c>
      <c r="E84" s="264">
        <v>37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97</v>
      </c>
      <c r="B85" s="261" t="s">
        <v>204</v>
      </c>
      <c r="C85" s="262" t="s">
        <v>954</v>
      </c>
      <c r="D85" s="263">
        <v>58</v>
      </c>
      <c r="E85" s="264">
        <v>11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98</v>
      </c>
      <c r="B86" s="261" t="s">
        <v>205</v>
      </c>
      <c r="C86" s="262" t="s">
        <v>954</v>
      </c>
      <c r="D86" s="263">
        <v>31</v>
      </c>
      <c r="E86" s="264">
        <v>4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769</v>
      </c>
      <c r="B87" s="261" t="s">
        <v>206</v>
      </c>
      <c r="C87" s="262" t="s">
        <v>954</v>
      </c>
      <c r="D87" s="263">
        <v>69</v>
      </c>
      <c r="E87" s="264">
        <v>310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84" customFormat="1" x14ac:dyDescent="0.25">
      <c r="A88" s="267" t="s">
        <v>100</v>
      </c>
      <c r="B88" s="332">
        <v>1323346600</v>
      </c>
      <c r="C88" s="245"/>
      <c r="D88" s="269"/>
      <c r="E88" s="270"/>
      <c r="F88" s="544"/>
      <c r="G88" s="270"/>
      <c r="H88" s="269"/>
      <c r="I88" s="270"/>
      <c r="J88" s="245" t="s">
        <v>33</v>
      </c>
      <c r="K88" s="246"/>
      <c r="L88" s="246"/>
    </row>
    <row r="89" spans="1:12" s="184" customFormat="1" x14ac:dyDescent="0.25">
      <c r="A89" s="267" t="s">
        <v>101</v>
      </c>
      <c r="B89" s="332">
        <v>1322699400</v>
      </c>
      <c r="C89" s="245"/>
      <c r="D89" s="269"/>
      <c r="E89" s="270"/>
      <c r="F89" s="544"/>
      <c r="G89" s="270"/>
      <c r="H89" s="269"/>
      <c r="I89" s="270"/>
      <c r="J89" s="245" t="s">
        <v>33</v>
      </c>
      <c r="K89" s="246"/>
      <c r="L89" s="246"/>
    </row>
    <row r="90" spans="1:12" s="352" customFormat="1" x14ac:dyDescent="0.25">
      <c r="A90" s="346" t="s">
        <v>772</v>
      </c>
      <c r="B90" s="347" t="s">
        <v>200</v>
      </c>
      <c r="C90" s="348" t="s">
        <v>957</v>
      </c>
      <c r="D90" s="349">
        <v>285</v>
      </c>
      <c r="E90" s="350">
        <v>1.34</v>
      </c>
      <c r="F90" s="593"/>
      <c r="G90" s="350"/>
      <c r="H90" s="349"/>
      <c r="I90" s="350"/>
      <c r="J90" s="348" t="s">
        <v>33</v>
      </c>
      <c r="K90" s="351"/>
      <c r="L90" s="351"/>
    </row>
    <row r="91" spans="1:12" s="149" customFormat="1" x14ac:dyDescent="0.25">
      <c r="A91" s="260" t="s">
        <v>955</v>
      </c>
      <c r="B91" s="261" t="s">
        <v>207</v>
      </c>
      <c r="C91" s="262" t="s">
        <v>954</v>
      </c>
      <c r="D91" s="263">
        <v>144</v>
      </c>
      <c r="E91" s="264">
        <v>742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953</v>
      </c>
      <c r="B92" s="261" t="s">
        <v>222</v>
      </c>
      <c r="C92" s="262" t="s">
        <v>954</v>
      </c>
      <c r="D92" s="263">
        <v>50</v>
      </c>
      <c r="E92" s="264">
        <v>50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697</v>
      </c>
      <c r="B93" s="261" t="s">
        <v>220</v>
      </c>
      <c r="C93" s="262" t="s">
        <v>954</v>
      </c>
      <c r="D93" s="263">
        <v>125</v>
      </c>
      <c r="E93" s="264">
        <v>756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956</v>
      </c>
      <c r="B94" s="261" t="s">
        <v>221</v>
      </c>
      <c r="C94" s="266" t="s">
        <v>954</v>
      </c>
      <c r="D94" s="263">
        <v>71</v>
      </c>
      <c r="E94" s="264">
        <v>405</v>
      </c>
      <c r="F94" s="58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701</v>
      </c>
      <c r="B95" s="261">
        <v>1323115001</v>
      </c>
      <c r="C95" s="266" t="s">
        <v>954</v>
      </c>
      <c r="D95" s="263">
        <v>1896</v>
      </c>
      <c r="E95" s="264">
        <v>22560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683</v>
      </c>
      <c r="B96" s="261">
        <v>1322673502</v>
      </c>
      <c r="C96" s="266" t="s">
        <v>954</v>
      </c>
      <c r="D96" s="263">
        <v>168</v>
      </c>
      <c r="E96" s="264">
        <v>1184</v>
      </c>
      <c r="F96" s="583"/>
      <c r="G96" s="264"/>
      <c r="H96" s="263"/>
      <c r="I96" s="264"/>
      <c r="J96" s="262"/>
      <c r="K96" s="265"/>
      <c r="L96" s="265"/>
    </row>
    <row r="97" spans="1:12" s="149" customFormat="1" x14ac:dyDescent="0.25">
      <c r="A97" s="260" t="s">
        <v>702</v>
      </c>
      <c r="B97" s="261">
        <v>1322725900</v>
      </c>
      <c r="C97" s="266" t="s">
        <v>954</v>
      </c>
      <c r="D97" s="263">
        <v>628</v>
      </c>
      <c r="E97" s="264">
        <v>5400</v>
      </c>
      <c r="F97" s="583"/>
      <c r="G97" s="264"/>
      <c r="H97" s="263"/>
      <c r="I97" s="264"/>
      <c r="J97" s="262"/>
      <c r="K97" s="265"/>
      <c r="L97" s="265"/>
    </row>
    <row r="98" spans="1:12" s="149" customFormat="1" x14ac:dyDescent="0.25">
      <c r="A98" s="260" t="s">
        <v>701</v>
      </c>
      <c r="B98" s="261">
        <v>1323115001</v>
      </c>
      <c r="C98" s="266" t="s">
        <v>927</v>
      </c>
      <c r="D98" s="263">
        <v>1966</v>
      </c>
      <c r="E98" s="264">
        <v>23640</v>
      </c>
      <c r="F98" s="26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683</v>
      </c>
      <c r="B99" s="261">
        <v>1322673502</v>
      </c>
      <c r="C99" s="266" t="s">
        <v>927</v>
      </c>
      <c r="D99" s="263">
        <v>75</v>
      </c>
      <c r="E99" s="264">
        <v>248</v>
      </c>
      <c r="F99" s="263"/>
      <c r="G99" s="264"/>
      <c r="H99" s="263"/>
      <c r="I99" s="264"/>
      <c r="J99" s="262"/>
      <c r="K99" s="265"/>
      <c r="L99" s="265"/>
    </row>
    <row r="100" spans="1:12" s="149" customFormat="1" x14ac:dyDescent="0.25">
      <c r="A100" s="260" t="s">
        <v>702</v>
      </c>
      <c r="B100" s="261">
        <v>1322725900</v>
      </c>
      <c r="C100" s="266" t="s">
        <v>927</v>
      </c>
      <c r="D100" s="263">
        <v>459</v>
      </c>
      <c r="E100" s="264">
        <v>2400</v>
      </c>
      <c r="F100" s="263"/>
      <c r="G100" s="264"/>
      <c r="H100" s="263"/>
      <c r="I100" s="264"/>
      <c r="J100" s="262"/>
      <c r="K100" s="265"/>
      <c r="L100" s="265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250"/>
      <c r="G101" s="251"/>
      <c r="H101" s="250"/>
      <c r="I101" s="251"/>
      <c r="J101" s="249"/>
      <c r="K101" s="253"/>
      <c r="L101" s="253"/>
    </row>
    <row r="102" spans="1:12" s="149" customFormat="1" x14ac:dyDescent="0.25">
      <c r="A102" s="260" t="s">
        <v>65</v>
      </c>
      <c r="B102" s="261" t="s">
        <v>163</v>
      </c>
      <c r="C102" s="262" t="s">
        <v>927</v>
      </c>
      <c r="D102" s="263"/>
      <c r="E102" s="264"/>
      <c r="F102" s="263"/>
      <c r="G102" s="264"/>
      <c r="H102" s="263">
        <v>244.43</v>
      </c>
      <c r="I102" s="264">
        <v>350</v>
      </c>
      <c r="J102" s="262"/>
      <c r="K102" s="265"/>
      <c r="L102" s="265"/>
    </row>
    <row r="103" spans="1:12" s="149" customFormat="1" x14ac:dyDescent="0.25">
      <c r="A103" s="260" t="s">
        <v>37</v>
      </c>
      <c r="B103" s="261" t="s">
        <v>190</v>
      </c>
      <c r="C103" s="262" t="s">
        <v>927</v>
      </c>
      <c r="D103" s="263"/>
      <c r="E103" s="264"/>
      <c r="F103" s="263"/>
      <c r="G103" s="264"/>
      <c r="H103" s="263">
        <v>221.1</v>
      </c>
      <c r="I103" s="264">
        <v>317</v>
      </c>
      <c r="J103" s="262"/>
      <c r="K103" s="265"/>
      <c r="L103" s="265"/>
    </row>
    <row r="104" spans="1:12" s="149" customFormat="1" x14ac:dyDescent="0.25">
      <c r="A104" s="260" t="s">
        <v>71</v>
      </c>
      <c r="B104" s="261" t="s">
        <v>188</v>
      </c>
      <c r="C104" s="262" t="s">
        <v>927</v>
      </c>
      <c r="D104" s="263"/>
      <c r="E104" s="264"/>
      <c r="F104" s="263"/>
      <c r="G104" s="264"/>
      <c r="H104" s="263">
        <v>36.86</v>
      </c>
      <c r="I104" s="264">
        <v>26</v>
      </c>
      <c r="J104" s="262"/>
      <c r="K104" s="265"/>
      <c r="L104" s="265"/>
    </row>
    <row r="105" spans="1:12" s="149" customFormat="1" x14ac:dyDescent="0.25">
      <c r="A105" s="260" t="s">
        <v>72</v>
      </c>
      <c r="B105" s="261" t="s">
        <v>187</v>
      </c>
      <c r="C105" s="262" t="s">
        <v>927</v>
      </c>
      <c r="D105" s="263"/>
      <c r="E105" s="264"/>
      <c r="F105" s="263"/>
      <c r="G105" s="264"/>
      <c r="H105" s="263">
        <v>33.659999999999997</v>
      </c>
      <c r="I105" s="264">
        <v>0</v>
      </c>
      <c r="J105" s="262"/>
      <c r="K105" s="265"/>
      <c r="L105" s="265"/>
    </row>
    <row r="106" spans="1:12" s="149" customFormat="1" x14ac:dyDescent="0.25">
      <c r="A106" s="260" t="s">
        <v>73</v>
      </c>
      <c r="B106" s="261" t="s">
        <v>171</v>
      </c>
      <c r="C106" s="262" t="s">
        <v>927</v>
      </c>
      <c r="D106" s="263"/>
      <c r="E106" s="264"/>
      <c r="F106" s="263"/>
      <c r="G106" s="264"/>
      <c r="H106" s="263">
        <v>37.4</v>
      </c>
      <c r="I106" s="264">
        <v>27</v>
      </c>
      <c r="J106" s="262"/>
      <c r="K106" s="265"/>
      <c r="L106" s="265"/>
    </row>
    <row r="107" spans="1:12" s="149" customFormat="1" x14ac:dyDescent="0.25">
      <c r="A107" s="260" t="s">
        <v>74</v>
      </c>
      <c r="B107" s="261" t="s">
        <v>170</v>
      </c>
      <c r="C107" s="262" t="s">
        <v>927</v>
      </c>
      <c r="D107" s="263"/>
      <c r="E107" s="264"/>
      <c r="F107" s="263"/>
      <c r="G107" s="264"/>
      <c r="H107" s="263">
        <v>33.659999999999997</v>
      </c>
      <c r="I107" s="264">
        <v>6</v>
      </c>
      <c r="J107" s="262"/>
      <c r="K107" s="265"/>
      <c r="L107" s="265"/>
    </row>
    <row r="108" spans="1:12" s="149" customFormat="1" x14ac:dyDescent="0.25">
      <c r="A108" s="260" t="s">
        <v>75</v>
      </c>
      <c r="B108" s="261" t="s">
        <v>189</v>
      </c>
      <c r="C108" s="262" t="s">
        <v>927</v>
      </c>
      <c r="D108" s="263"/>
      <c r="E108" s="264"/>
      <c r="F108" s="263"/>
      <c r="G108" s="264"/>
      <c r="H108" s="263">
        <v>57.69</v>
      </c>
      <c r="I108" s="264">
        <v>65</v>
      </c>
      <c r="J108" s="262"/>
      <c r="K108" s="265"/>
      <c r="L108" s="265"/>
    </row>
    <row r="109" spans="1:12" s="149" customFormat="1" x14ac:dyDescent="0.25">
      <c r="A109" s="260" t="s">
        <v>76</v>
      </c>
      <c r="B109" s="261" t="s">
        <v>169</v>
      </c>
      <c r="C109" s="262" t="s">
        <v>927</v>
      </c>
      <c r="D109" s="263"/>
      <c r="E109" s="264"/>
      <c r="F109" s="263"/>
      <c r="G109" s="264"/>
      <c r="H109" s="263">
        <v>33.659999999999997</v>
      </c>
      <c r="I109" s="264">
        <v>1</v>
      </c>
      <c r="J109" s="262"/>
      <c r="K109" s="265"/>
      <c r="L109" s="265"/>
    </row>
    <row r="110" spans="1:12" s="149" customFormat="1" x14ac:dyDescent="0.25">
      <c r="A110" s="260" t="s">
        <v>77</v>
      </c>
      <c r="B110" s="261" t="s">
        <v>168</v>
      </c>
      <c r="C110" s="262" t="s">
        <v>927</v>
      </c>
      <c r="D110" s="263"/>
      <c r="E110" s="264"/>
      <c r="F110" s="263"/>
      <c r="G110" s="264"/>
      <c r="H110" s="263">
        <v>223.93</v>
      </c>
      <c r="I110" s="264">
        <v>321</v>
      </c>
      <c r="J110" s="262"/>
      <c r="K110" s="265"/>
      <c r="L110" s="265"/>
    </row>
    <row r="111" spans="1:12" s="149" customFormat="1" x14ac:dyDescent="0.25">
      <c r="A111" s="260" t="s">
        <v>78</v>
      </c>
      <c r="B111" s="261" t="s">
        <v>197</v>
      </c>
      <c r="C111" s="262" t="s">
        <v>927</v>
      </c>
      <c r="D111" s="263"/>
      <c r="E111" s="264"/>
      <c r="F111" s="263"/>
      <c r="G111" s="264"/>
      <c r="H111" s="263">
        <v>33.659999999999997</v>
      </c>
      <c r="I111" s="264">
        <v>17</v>
      </c>
      <c r="J111" s="262"/>
      <c r="K111" s="265"/>
      <c r="L111" s="265"/>
    </row>
    <row r="112" spans="1:12" s="149" customFormat="1" x14ac:dyDescent="0.25">
      <c r="A112" s="260" t="s">
        <v>79</v>
      </c>
      <c r="B112" s="261" t="s">
        <v>167</v>
      </c>
      <c r="C112" s="266" t="s">
        <v>927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83" t="s">
        <v>80</v>
      </c>
      <c r="B113" s="284" t="s">
        <v>177</v>
      </c>
      <c r="C113" s="285" t="s">
        <v>927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65"/>
      <c r="L113" s="265"/>
    </row>
    <row r="114" spans="1:12" s="149" customFormat="1" x14ac:dyDescent="0.25">
      <c r="A114" s="260" t="s">
        <v>81</v>
      </c>
      <c r="B114" s="261" t="s">
        <v>180</v>
      </c>
      <c r="C114" s="262" t="s">
        <v>927</v>
      </c>
      <c r="D114" s="263"/>
      <c r="E114" s="264"/>
      <c r="F114" s="263"/>
      <c r="G114" s="264"/>
      <c r="H114" s="263">
        <v>33.659999999999997</v>
      </c>
      <c r="I114" s="264">
        <v>13</v>
      </c>
      <c r="J114" s="262"/>
      <c r="K114" s="265"/>
      <c r="L114" s="265"/>
    </row>
    <row r="115" spans="1:12" s="149" customFormat="1" x14ac:dyDescent="0.25">
      <c r="A115" s="260" t="s">
        <v>82</v>
      </c>
      <c r="B115" s="261" t="s">
        <v>179</v>
      </c>
      <c r="C115" s="262" t="s">
        <v>927</v>
      </c>
      <c r="D115" s="263"/>
      <c r="E115" s="264"/>
      <c r="F115" s="263"/>
      <c r="G115" s="264"/>
      <c r="H115" s="263">
        <v>61.43</v>
      </c>
      <c r="I115" s="264">
        <v>72</v>
      </c>
      <c r="J115" s="262"/>
      <c r="K115" s="265"/>
      <c r="L115" s="265"/>
    </row>
    <row r="116" spans="1:12" s="149" customFormat="1" x14ac:dyDescent="0.25">
      <c r="A116" s="260" t="s">
        <v>83</v>
      </c>
      <c r="B116" s="261" t="s">
        <v>178</v>
      </c>
      <c r="C116" s="262" t="s">
        <v>927</v>
      </c>
      <c r="D116" s="263"/>
      <c r="E116" s="264"/>
      <c r="F116" s="263"/>
      <c r="G116" s="264"/>
      <c r="H116" s="263">
        <v>35.799999999999997</v>
      </c>
      <c r="I116" s="264">
        <v>24</v>
      </c>
      <c r="J116" s="262"/>
      <c r="K116" s="265"/>
      <c r="L116" s="265"/>
    </row>
    <row r="117" spans="1:12" s="149" customFormat="1" x14ac:dyDescent="0.25">
      <c r="A117" s="260" t="s">
        <v>84</v>
      </c>
      <c r="B117" s="261" t="s">
        <v>175</v>
      </c>
      <c r="C117" s="262" t="s">
        <v>927</v>
      </c>
      <c r="D117" s="263"/>
      <c r="E117" s="264"/>
      <c r="F117" s="263"/>
      <c r="G117" s="264"/>
      <c r="H117" s="263">
        <v>33.659999999999997</v>
      </c>
      <c r="I117" s="264">
        <v>16</v>
      </c>
      <c r="J117" s="262"/>
      <c r="K117" s="265"/>
      <c r="L117" s="265"/>
    </row>
    <row r="118" spans="1:12" s="149" customFormat="1" x14ac:dyDescent="0.25">
      <c r="A118" s="260" t="s">
        <v>85</v>
      </c>
      <c r="B118" s="261" t="s">
        <v>184</v>
      </c>
      <c r="C118" s="262" t="s">
        <v>927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86</v>
      </c>
      <c r="B119" s="261" t="s">
        <v>185</v>
      </c>
      <c r="C119" s="262" t="s">
        <v>927</v>
      </c>
      <c r="D119" s="263"/>
      <c r="E119" s="264"/>
      <c r="F119" s="263"/>
      <c r="G119" s="264"/>
      <c r="H119" s="263">
        <v>33.659999999999997</v>
      </c>
      <c r="I119" s="264">
        <v>1</v>
      </c>
      <c r="J119" s="262"/>
      <c r="K119" s="265"/>
      <c r="L119" s="265"/>
    </row>
    <row r="120" spans="1:12" s="149" customFormat="1" x14ac:dyDescent="0.25">
      <c r="A120" s="260" t="s">
        <v>87</v>
      </c>
      <c r="B120" s="261" t="s">
        <v>181</v>
      </c>
      <c r="C120" s="262" t="s">
        <v>927</v>
      </c>
      <c r="D120" s="263"/>
      <c r="E120" s="264"/>
      <c r="F120" s="263"/>
      <c r="G120" s="264"/>
      <c r="H120" s="263">
        <v>33.659999999999997</v>
      </c>
      <c r="I120" s="264">
        <v>2</v>
      </c>
      <c r="J120" s="262"/>
      <c r="K120" s="265"/>
      <c r="L120" s="265"/>
    </row>
    <row r="121" spans="1:12" s="149" customFormat="1" x14ac:dyDescent="0.25">
      <c r="A121" s="260" t="s">
        <v>88</v>
      </c>
      <c r="B121" s="261" t="s">
        <v>172</v>
      </c>
      <c r="C121" s="262" t="s">
        <v>927</v>
      </c>
      <c r="D121" s="263"/>
      <c r="E121" s="264"/>
      <c r="F121" s="263"/>
      <c r="G121" s="264"/>
      <c r="H121" s="263">
        <v>65.010000000000005</v>
      </c>
      <c r="I121" s="264">
        <v>1165</v>
      </c>
      <c r="J121" s="262"/>
      <c r="K121" s="265"/>
      <c r="L121" s="265"/>
    </row>
    <row r="122" spans="1:12" s="149" customFormat="1" x14ac:dyDescent="0.25">
      <c r="A122" s="260" t="s">
        <v>89</v>
      </c>
      <c r="B122" s="261" t="s">
        <v>173</v>
      </c>
      <c r="C122" s="262" t="s">
        <v>927</v>
      </c>
      <c r="D122" s="263"/>
      <c r="E122" s="264"/>
      <c r="F122" s="263"/>
      <c r="G122" s="264"/>
      <c r="H122" s="263">
        <v>142.58000000000001</v>
      </c>
      <c r="I122" s="264">
        <v>202</v>
      </c>
      <c r="J122" s="262"/>
      <c r="K122" s="265"/>
      <c r="L122" s="265"/>
    </row>
    <row r="123" spans="1:12" s="149" customFormat="1" x14ac:dyDescent="0.25">
      <c r="A123" s="260" t="s">
        <v>90</v>
      </c>
      <c r="B123" s="261" t="s">
        <v>174</v>
      </c>
      <c r="C123" s="262" t="s">
        <v>927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91</v>
      </c>
      <c r="B124" s="261" t="s">
        <v>182</v>
      </c>
      <c r="C124" s="262" t="s">
        <v>927</v>
      </c>
      <c r="D124" s="263"/>
      <c r="E124" s="264"/>
      <c r="F124" s="263"/>
      <c r="G124" s="264"/>
      <c r="H124" s="263">
        <v>43.27</v>
      </c>
      <c r="I124" s="264">
        <v>38</v>
      </c>
      <c r="J124" s="262"/>
      <c r="K124" s="265"/>
      <c r="L124" s="265"/>
    </row>
    <row r="125" spans="1:12" s="149" customFormat="1" x14ac:dyDescent="0.25">
      <c r="A125" s="260" t="s">
        <v>92</v>
      </c>
      <c r="B125" s="261" t="s">
        <v>186</v>
      </c>
      <c r="C125" s="262" t="s">
        <v>927</v>
      </c>
      <c r="D125" s="263"/>
      <c r="E125" s="264"/>
      <c r="F125" s="263"/>
      <c r="G125" s="264"/>
      <c r="H125" s="263">
        <v>73.709999999999994</v>
      </c>
      <c r="I125" s="264">
        <v>95</v>
      </c>
      <c r="J125" s="262"/>
      <c r="K125" s="265"/>
      <c r="L125" s="265"/>
    </row>
    <row r="126" spans="1:12" s="149" customFormat="1" x14ac:dyDescent="0.25">
      <c r="A126" s="260" t="s">
        <v>93</v>
      </c>
      <c r="B126" s="261" t="s">
        <v>183</v>
      </c>
      <c r="C126" s="262" t="s">
        <v>927</v>
      </c>
      <c r="D126" s="263"/>
      <c r="E126" s="264"/>
      <c r="F126" s="263"/>
      <c r="G126" s="264"/>
      <c r="H126" s="263">
        <v>45.94</v>
      </c>
      <c r="I126" s="264">
        <v>43</v>
      </c>
      <c r="J126" s="262"/>
      <c r="K126" s="265"/>
      <c r="L126" s="265"/>
    </row>
    <row r="127" spans="1:12" s="149" customFormat="1" x14ac:dyDescent="0.25">
      <c r="A127" s="260" t="s">
        <v>103</v>
      </c>
      <c r="B127" s="261" t="s">
        <v>194</v>
      </c>
      <c r="C127" s="262" t="s">
        <v>927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5"/>
      <c r="L127" s="265"/>
    </row>
    <row r="128" spans="1:12" s="149" customFormat="1" x14ac:dyDescent="0.25">
      <c r="A128" s="260" t="s">
        <v>104</v>
      </c>
      <c r="B128" s="261" t="s">
        <v>195</v>
      </c>
      <c r="C128" s="262" t="s">
        <v>927</v>
      </c>
      <c r="D128" s="263"/>
      <c r="E128" s="264"/>
      <c r="F128" s="263"/>
      <c r="G128" s="264"/>
      <c r="H128" s="263">
        <v>50.49</v>
      </c>
      <c r="I128" s="264">
        <v>3</v>
      </c>
      <c r="J128" s="262"/>
      <c r="K128" s="265"/>
      <c r="L128" s="265"/>
    </row>
    <row r="129" spans="1:12" s="184" customFormat="1" x14ac:dyDescent="0.25">
      <c r="A129" s="267" t="s">
        <v>105</v>
      </c>
      <c r="B129" s="268" t="s">
        <v>196</v>
      </c>
      <c r="C129" s="245" t="s">
        <v>954</v>
      </c>
      <c r="D129" s="269"/>
      <c r="E129" s="270"/>
      <c r="F129" s="269"/>
      <c r="G129" s="270"/>
      <c r="H129" s="269">
        <v>33.659999999999997</v>
      </c>
      <c r="I129" s="270">
        <v>3</v>
      </c>
      <c r="J129" s="245"/>
      <c r="K129" s="246"/>
      <c r="L129" s="246"/>
    </row>
    <row r="130" spans="1:12" s="149" customFormat="1" x14ac:dyDescent="0.25">
      <c r="A130" s="260" t="s">
        <v>68</v>
      </c>
      <c r="B130" s="261" t="s">
        <v>166</v>
      </c>
      <c r="C130" s="262" t="s">
        <v>927</v>
      </c>
      <c r="D130" s="263"/>
      <c r="E130" s="264"/>
      <c r="F130" s="263"/>
      <c r="G130" s="264"/>
      <c r="H130" s="263">
        <v>45.41</v>
      </c>
      <c r="I130" s="264">
        <v>42</v>
      </c>
      <c r="J130" s="262"/>
      <c r="K130" s="265"/>
      <c r="L130" s="265"/>
    </row>
    <row r="131" spans="1:12" s="149" customFormat="1" x14ac:dyDescent="0.25">
      <c r="A131" s="260" t="s">
        <v>46</v>
      </c>
      <c r="B131" s="261" t="s">
        <v>193</v>
      </c>
      <c r="C131" s="262" t="s">
        <v>927</v>
      </c>
      <c r="D131" s="263"/>
      <c r="E131" s="264"/>
      <c r="F131" s="263"/>
      <c r="G131" s="264"/>
      <c r="H131" s="263">
        <v>33.659999999999997</v>
      </c>
      <c r="I131" s="264">
        <v>19</v>
      </c>
      <c r="J131" s="262"/>
      <c r="K131" s="265"/>
      <c r="L131" s="265"/>
    </row>
    <row r="132" spans="1:12" s="149" customFormat="1" x14ac:dyDescent="0.25">
      <c r="A132" s="260" t="s">
        <v>17</v>
      </c>
      <c r="B132" s="261" t="s">
        <v>192</v>
      </c>
      <c r="C132" s="262" t="s">
        <v>927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5"/>
      <c r="L132" s="265"/>
    </row>
    <row r="133" spans="1:12" s="149" customFormat="1" x14ac:dyDescent="0.25">
      <c r="A133" s="260" t="s">
        <v>47</v>
      </c>
      <c r="B133" s="261" t="s">
        <v>139</v>
      </c>
      <c r="C133" s="262" t="s">
        <v>939</v>
      </c>
      <c r="D133" s="263"/>
      <c r="E133" s="264"/>
      <c r="F133" s="263"/>
      <c r="G133" s="264"/>
      <c r="H133" s="263">
        <v>90.66</v>
      </c>
      <c r="I133" s="264">
        <v>122</v>
      </c>
      <c r="J133" s="262"/>
      <c r="K133" s="265"/>
      <c r="L133" s="265"/>
    </row>
    <row r="134" spans="1:12" s="149" customFormat="1" x14ac:dyDescent="0.25">
      <c r="A134" s="260" t="s">
        <v>64</v>
      </c>
      <c r="B134" s="261" t="s">
        <v>191</v>
      </c>
      <c r="C134" s="262" t="s">
        <v>927</v>
      </c>
      <c r="D134" s="263"/>
      <c r="E134" s="264"/>
      <c r="F134" s="263"/>
      <c r="G134" s="264"/>
      <c r="H134" s="263">
        <v>134.79</v>
      </c>
      <c r="I134" s="264">
        <v>190</v>
      </c>
      <c r="J134" s="262"/>
      <c r="K134" s="265"/>
      <c r="L134" s="265"/>
    </row>
    <row r="135" spans="1:12" s="149" customFormat="1" x14ac:dyDescent="0.25">
      <c r="A135" s="260" t="s">
        <v>130</v>
      </c>
      <c r="B135" s="261" t="s">
        <v>131</v>
      </c>
      <c r="C135" s="262" t="s">
        <v>939</v>
      </c>
      <c r="D135" s="263"/>
      <c r="E135" s="264"/>
      <c r="F135" s="263"/>
      <c r="G135" s="264"/>
      <c r="H135" s="263">
        <v>1812.84</v>
      </c>
      <c r="I135" s="264">
        <v>2404</v>
      </c>
      <c r="J135" s="262"/>
      <c r="K135" s="265"/>
      <c r="L135" s="265"/>
    </row>
    <row r="136" spans="1:12" s="149" customFormat="1" x14ac:dyDescent="0.25">
      <c r="A136" s="260" t="s">
        <v>134</v>
      </c>
      <c r="B136" s="261" t="s">
        <v>133</v>
      </c>
      <c r="C136" s="262" t="s">
        <v>939</v>
      </c>
      <c r="D136" s="263"/>
      <c r="E136" s="264"/>
      <c r="F136" s="263"/>
      <c r="G136" s="264"/>
      <c r="H136" s="263">
        <v>97.8</v>
      </c>
      <c r="I136" s="264">
        <v>133</v>
      </c>
      <c r="J136" s="262"/>
      <c r="K136" s="265"/>
      <c r="L136" s="265"/>
    </row>
    <row r="137" spans="1:12" s="149" customFormat="1" x14ac:dyDescent="0.25">
      <c r="A137" s="260" t="s">
        <v>543</v>
      </c>
      <c r="B137" s="261" t="s">
        <v>135</v>
      </c>
      <c r="C137" s="262" t="s">
        <v>939</v>
      </c>
      <c r="D137" s="263"/>
      <c r="E137" s="264"/>
      <c r="F137" s="263"/>
      <c r="G137" s="264"/>
      <c r="H137" s="263">
        <v>1406.63</v>
      </c>
      <c r="I137" s="264">
        <v>1873</v>
      </c>
      <c r="J137" s="262"/>
      <c r="K137" s="265"/>
      <c r="L137" s="265"/>
    </row>
    <row r="138" spans="1:12" s="149" customFormat="1" x14ac:dyDescent="0.25">
      <c r="A138" s="260" t="s">
        <v>137</v>
      </c>
      <c r="B138" s="261" t="s">
        <v>138</v>
      </c>
      <c r="C138" s="262" t="s">
        <v>939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140</v>
      </c>
      <c r="B139" s="261" t="s">
        <v>141</v>
      </c>
      <c r="C139" s="266" t="s">
        <v>939</v>
      </c>
      <c r="D139" s="263"/>
      <c r="E139" s="264"/>
      <c r="F139" s="263"/>
      <c r="G139" s="264"/>
      <c r="H139" s="263">
        <v>51.18</v>
      </c>
      <c r="I139" s="264">
        <v>0</v>
      </c>
      <c r="J139" s="262"/>
      <c r="K139" s="265"/>
      <c r="L139" s="265"/>
    </row>
    <row r="140" spans="1:12" s="149" customFormat="1" x14ac:dyDescent="0.25">
      <c r="A140" s="260" t="s">
        <v>142</v>
      </c>
      <c r="B140" s="261" t="s">
        <v>143</v>
      </c>
      <c r="C140" s="262" t="s">
        <v>939</v>
      </c>
      <c r="D140" s="263"/>
      <c r="E140" s="264"/>
      <c r="F140" s="263"/>
      <c r="G140" s="264"/>
      <c r="H140" s="263">
        <v>35.26</v>
      </c>
      <c r="I140" s="264">
        <v>23</v>
      </c>
      <c r="J140" s="262"/>
      <c r="K140" s="265"/>
      <c r="L140" s="265"/>
    </row>
    <row r="141" spans="1:12" s="149" customFormat="1" x14ac:dyDescent="0.25">
      <c r="A141" s="260" t="s">
        <v>587</v>
      </c>
      <c r="B141" s="261" t="s">
        <v>145</v>
      </c>
      <c r="C141" s="262" t="s">
        <v>939</v>
      </c>
      <c r="D141" s="263"/>
      <c r="E141" s="264"/>
      <c r="F141" s="263"/>
      <c r="G141" s="264"/>
      <c r="H141" s="263">
        <v>339.45</v>
      </c>
      <c r="I141" s="264">
        <v>478</v>
      </c>
      <c r="J141" s="262"/>
      <c r="K141" s="265"/>
      <c r="L141" s="265"/>
    </row>
    <row r="142" spans="1:12" s="149" customFormat="1" x14ac:dyDescent="0.25">
      <c r="A142" s="260" t="s">
        <v>588</v>
      </c>
      <c r="B142" s="261" t="s">
        <v>147</v>
      </c>
      <c r="C142" s="266" t="s">
        <v>939</v>
      </c>
      <c r="D142" s="263"/>
      <c r="E142" s="264"/>
      <c r="F142" s="263"/>
      <c r="G142" s="264"/>
      <c r="H142" s="263">
        <v>258.57</v>
      </c>
      <c r="I142" s="264">
        <v>370</v>
      </c>
      <c r="J142" s="262"/>
      <c r="K142" s="265"/>
      <c r="L142" s="265"/>
    </row>
    <row r="143" spans="1:12" s="149" customFormat="1" x14ac:dyDescent="0.25">
      <c r="A143" s="260" t="s">
        <v>176</v>
      </c>
      <c r="B143" s="261" t="s">
        <v>165</v>
      </c>
      <c r="C143" s="262" t="s">
        <v>939</v>
      </c>
      <c r="D143" s="263"/>
      <c r="E143" s="264"/>
      <c r="F143" s="263"/>
      <c r="G143" s="264"/>
      <c r="H143" s="263">
        <v>234.53</v>
      </c>
      <c r="I143" s="264">
        <v>336</v>
      </c>
      <c r="J143" s="262"/>
      <c r="K143" s="265"/>
      <c r="L143" s="265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107</v>
      </c>
      <c r="B145" s="261">
        <v>67</v>
      </c>
      <c r="C145" s="262" t="s">
        <v>926</v>
      </c>
      <c r="D145" s="263"/>
      <c r="E145" s="264"/>
      <c r="F145" s="263"/>
      <c r="G145" s="264"/>
      <c r="H145" s="263">
        <v>50</v>
      </c>
      <c r="I145" s="264">
        <v>0</v>
      </c>
      <c r="J145" s="262"/>
      <c r="K145" s="265"/>
      <c r="L145" s="265"/>
    </row>
    <row r="146" spans="1:12" s="149" customFormat="1" x14ac:dyDescent="0.25">
      <c r="A146" s="260" t="s">
        <v>109</v>
      </c>
      <c r="B146" s="261">
        <v>95</v>
      </c>
      <c r="C146" s="262" t="s">
        <v>926</v>
      </c>
      <c r="D146" s="263"/>
      <c r="E146" s="264"/>
      <c r="F146" s="263"/>
      <c r="G146" s="264"/>
      <c r="H146" s="263">
        <v>139.80000000000001</v>
      </c>
      <c r="I146" s="264">
        <v>7700</v>
      </c>
      <c r="J146" s="262"/>
      <c r="K146" s="265"/>
      <c r="L146" s="265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156</v>
      </c>
      <c r="B148" s="291">
        <v>61</v>
      </c>
      <c r="C148" s="266">
        <v>42895</v>
      </c>
      <c r="D148" s="263"/>
      <c r="E148" s="264"/>
      <c r="F148" s="263"/>
      <c r="G148" s="264"/>
      <c r="H148" s="263">
        <v>35.18</v>
      </c>
      <c r="I148" s="264">
        <v>140</v>
      </c>
      <c r="J148" s="262"/>
      <c r="K148" s="265"/>
      <c r="L148" s="265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53"/>
      <c r="L149" s="253"/>
    </row>
    <row r="150" spans="1:12" s="149" customFormat="1" ht="26.25" x14ac:dyDescent="0.25">
      <c r="A150" s="260" t="s">
        <v>40</v>
      </c>
      <c r="B150" s="261">
        <v>95</v>
      </c>
      <c r="C150" s="266" t="s">
        <v>925</v>
      </c>
      <c r="D150" s="263"/>
      <c r="E150" s="264"/>
      <c r="F150" s="263"/>
      <c r="G150" s="264"/>
      <c r="H150" s="263">
        <v>17.399999999999999</v>
      </c>
      <c r="I150" s="264">
        <v>2200</v>
      </c>
      <c r="J150" s="262"/>
      <c r="K150" s="265"/>
      <c r="L150" s="265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53"/>
      <c r="L151" s="253"/>
    </row>
    <row r="152" spans="1:12" s="184" customFormat="1" x14ac:dyDescent="0.25">
      <c r="A152" s="267" t="s">
        <v>355</v>
      </c>
      <c r="B152" s="268" t="s">
        <v>356</v>
      </c>
      <c r="C152" s="289"/>
      <c r="D152" s="269"/>
      <c r="E152" s="270"/>
      <c r="F152" s="269"/>
      <c r="G152" s="270"/>
      <c r="H152" s="269"/>
      <c r="I152" s="270"/>
      <c r="J152" s="245"/>
      <c r="K152" s="246"/>
      <c r="L152" s="246"/>
    </row>
    <row r="153" spans="1:12" s="184" customFormat="1" ht="46.5" customHeight="1" x14ac:dyDescent="0.25">
      <c r="A153" s="559"/>
      <c r="B153" s="559"/>
      <c r="C153" s="559"/>
      <c r="D153" s="560"/>
      <c r="E153" s="561"/>
      <c r="F153" s="574"/>
      <c r="G153" s="561"/>
      <c r="H153" s="560"/>
      <c r="I153" s="561"/>
      <c r="J153" s="560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269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269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269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269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269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269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269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269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269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269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269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269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269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269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269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269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269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269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269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269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269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269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269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269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269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269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269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269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269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269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269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269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269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269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269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269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269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269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269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269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269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269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269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269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269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269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269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269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269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269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269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269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269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269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269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269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269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269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269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269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269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269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269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269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269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269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269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269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269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269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269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269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269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269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269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269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269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269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269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269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269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269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269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269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269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269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269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269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269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269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269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269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269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269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269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269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269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269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269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269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269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269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269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269"/>
      <c r="G257" s="270"/>
      <c r="H257" s="245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45"/>
      <c r="E258" s="270"/>
      <c r="F258" s="269"/>
      <c r="G258" s="270"/>
      <c r="H258" s="245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45"/>
      <c r="E259" s="270"/>
      <c r="F259" s="269"/>
      <c r="G259" s="270"/>
      <c r="H259" s="245"/>
      <c r="I259" s="270"/>
      <c r="J259" s="245"/>
      <c r="K259" s="246"/>
      <c r="L259" s="246"/>
    </row>
    <row r="260" spans="1:12" s="184" customFormat="1" x14ac:dyDescent="0.25">
      <c r="A260" s="245"/>
      <c r="B260" s="245"/>
      <c r="C260" s="245"/>
      <c r="D260" s="245"/>
      <c r="E260" s="270"/>
      <c r="F260" s="269"/>
      <c r="G260" s="270"/>
      <c r="H260" s="245"/>
      <c r="I260" s="270"/>
      <c r="J260" s="245"/>
      <c r="K260" s="246"/>
      <c r="L260" s="246"/>
    </row>
    <row r="261" spans="1:12" s="184" customFormat="1" x14ac:dyDescent="0.25">
      <c r="A261" s="245"/>
      <c r="B261" s="245"/>
      <c r="C261" s="245"/>
      <c r="D261" s="245"/>
      <c r="E261" s="270"/>
      <c r="F261" s="269"/>
      <c r="G261" s="270"/>
      <c r="H261" s="245"/>
      <c r="I261" s="270"/>
      <c r="J261" s="245"/>
      <c r="K261" s="246"/>
      <c r="L261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G20"/>
  <sheetViews>
    <sheetView workbookViewId="0">
      <selection activeCell="D25" sqref="D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938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06"/>
      <c r="B4" s="607"/>
      <c r="C4" s="607"/>
      <c r="D4" s="607"/>
      <c r="E4" s="607"/>
      <c r="F4" s="607"/>
      <c r="G4" s="60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230833.5</v>
      </c>
      <c r="D13" s="34"/>
      <c r="E13" s="35" t="s">
        <v>33</v>
      </c>
      <c r="F13" s="34"/>
      <c r="G13" s="42">
        <v>20473.759999999998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1967</v>
      </c>
      <c r="D15" s="34"/>
      <c r="E15" s="35" t="s">
        <v>10</v>
      </c>
      <c r="F15" s="34"/>
      <c r="G15" s="42">
        <v>1808.89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110568</v>
      </c>
      <c r="D17" s="34"/>
      <c r="E17" s="35" t="s">
        <v>278</v>
      </c>
      <c r="F17" s="34"/>
      <c r="G17" s="42">
        <v>6789.49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261"/>
  <sheetViews>
    <sheetView zoomScaleNormal="100" workbookViewId="0">
      <pane ySplit="2" topLeftCell="A24" activePane="bottomLeft" state="frozen"/>
      <selection pane="bottomLeft" activeCell="A34" sqref="A34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912</v>
      </c>
      <c r="D3" s="257"/>
      <c r="E3" s="258"/>
      <c r="F3" s="586">
        <v>665.36</v>
      </c>
      <c r="G3" s="258">
        <v>1070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914</v>
      </c>
      <c r="D4" s="263"/>
      <c r="E4" s="264"/>
      <c r="F4" s="583">
        <v>59.96</v>
      </c>
      <c r="G4" s="264">
        <v>26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920</v>
      </c>
      <c r="D5" s="257"/>
      <c r="E5" s="258"/>
      <c r="F5" s="586">
        <v>236.65</v>
      </c>
      <c r="G5" s="258">
        <v>339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916</v>
      </c>
      <c r="D6" s="263"/>
      <c r="E6" s="264"/>
      <c r="F6" s="583">
        <v>77.33</v>
      </c>
      <c r="G6" s="264">
        <v>57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914</v>
      </c>
      <c r="D7" s="263"/>
      <c r="E7" s="264"/>
      <c r="F7" s="583">
        <v>57.54</v>
      </c>
      <c r="G7" s="264">
        <v>7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914</v>
      </c>
      <c r="D8" s="263"/>
      <c r="E8" s="264"/>
      <c r="F8" s="583">
        <v>60.7</v>
      </c>
      <c r="G8" s="264">
        <v>13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914</v>
      </c>
      <c r="D9" s="263"/>
      <c r="E9" s="264"/>
      <c r="F9" s="583">
        <v>112.91</v>
      </c>
      <c r="G9" s="264">
        <v>120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914</v>
      </c>
      <c r="D10" s="263"/>
      <c r="E10" s="264"/>
      <c r="F10" s="583">
        <v>58.51</v>
      </c>
      <c r="G10" s="264">
        <v>25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912</v>
      </c>
      <c r="D11" s="263"/>
      <c r="E11" s="264"/>
      <c r="F11" s="583">
        <v>53.88</v>
      </c>
      <c r="G11" s="264">
        <v>0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914</v>
      </c>
      <c r="D12" s="263"/>
      <c r="E12" s="264"/>
      <c r="F12" s="583">
        <v>45.31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914</v>
      </c>
      <c r="D13" s="263"/>
      <c r="E13" s="264"/>
      <c r="F13" s="583">
        <v>82.49</v>
      </c>
      <c r="G13" s="264">
        <v>66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916</v>
      </c>
      <c r="D14" s="263"/>
      <c r="E14" s="264"/>
      <c r="F14" s="583">
        <v>51.49</v>
      </c>
      <c r="G14" s="264">
        <v>11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914</v>
      </c>
      <c r="D15" s="263"/>
      <c r="E15" s="264"/>
      <c r="F15" s="583">
        <v>160.22</v>
      </c>
      <c r="G15" s="264">
        <v>204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918</v>
      </c>
      <c r="D16" s="263"/>
      <c r="E16" s="264"/>
      <c r="F16" s="583">
        <v>41.56</v>
      </c>
      <c r="G16" s="264">
        <v>28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918</v>
      </c>
      <c r="D17" s="263"/>
      <c r="E17" s="264"/>
      <c r="F17" s="583">
        <v>44.98</v>
      </c>
      <c r="G17" s="264">
        <v>1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274580</v>
      </c>
      <c r="C19" s="563" t="s">
        <v>928</v>
      </c>
      <c r="D19" s="563">
        <v>26.12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6.5" customHeight="1" x14ac:dyDescent="0.25">
      <c r="A20" s="563" t="s">
        <v>831</v>
      </c>
      <c r="B20" s="563">
        <v>117936</v>
      </c>
      <c r="C20" s="563" t="s">
        <v>928</v>
      </c>
      <c r="D20" s="563">
        <v>137.77000000000001</v>
      </c>
      <c r="E20" s="564">
        <v>48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8184322</v>
      </c>
      <c r="C21" s="563" t="s">
        <v>928</v>
      </c>
      <c r="D21" s="563">
        <v>606.36</v>
      </c>
      <c r="E21" s="564">
        <v>3840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8234139</v>
      </c>
      <c r="C22" s="563" t="s">
        <v>929</v>
      </c>
      <c r="D22" s="563">
        <v>42.54</v>
      </c>
      <c r="E22" s="564">
        <v>508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5262911</v>
      </c>
      <c r="C23" s="563" t="s">
        <v>928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9261200</v>
      </c>
      <c r="C24" s="563" t="s">
        <v>930</v>
      </c>
      <c r="D24" s="563">
        <v>57.92</v>
      </c>
      <c r="E24" s="564">
        <v>779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8463322</v>
      </c>
      <c r="C25" s="563" t="s">
        <v>930</v>
      </c>
      <c r="D25" s="563">
        <v>4267.8599999999997</v>
      </c>
      <c r="E25" s="564">
        <v>88500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5027654</v>
      </c>
      <c r="C26" s="563" t="s">
        <v>928</v>
      </c>
      <c r="D26" s="563">
        <v>265.62</v>
      </c>
      <c r="E26" s="564">
        <v>2500</v>
      </c>
      <c r="F26" s="604"/>
      <c r="G26" s="564"/>
      <c r="H26" s="563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5089282</v>
      </c>
      <c r="C27" s="563" t="s">
        <v>930</v>
      </c>
      <c r="D27" s="563">
        <v>446.19</v>
      </c>
      <c r="E27" s="564">
        <v>600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9498071</v>
      </c>
      <c r="C28" s="563" t="s">
        <v>931</v>
      </c>
      <c r="D28" s="563">
        <v>273.87</v>
      </c>
      <c r="E28" s="564">
        <v>2160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5028615</v>
      </c>
      <c r="C29" s="563" t="s">
        <v>928</v>
      </c>
      <c r="D29" s="563">
        <v>583.1</v>
      </c>
      <c r="E29" s="564">
        <v>6920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7480591</v>
      </c>
      <c r="C30" s="563" t="s">
        <v>931</v>
      </c>
      <c r="D30" s="563">
        <v>622.17999999999995</v>
      </c>
      <c r="E30" s="564">
        <v>10615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5031405</v>
      </c>
      <c r="C31" s="563" t="s">
        <v>928</v>
      </c>
      <c r="D31" s="563">
        <v>934.36</v>
      </c>
      <c r="E31" s="564">
        <v>12300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8934894</v>
      </c>
      <c r="C32" s="563" t="s">
        <v>928</v>
      </c>
      <c r="D32" s="563">
        <v>14.73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5231911</v>
      </c>
      <c r="C33" s="563" t="s">
        <v>928</v>
      </c>
      <c r="D33" s="563">
        <v>20.36</v>
      </c>
      <c r="E33" s="564">
        <v>15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5276024</v>
      </c>
      <c r="C34" s="563" t="s">
        <v>897</v>
      </c>
      <c r="D34" s="563">
        <v>20.68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5036644</v>
      </c>
      <c r="C35" s="563" t="s">
        <v>932</v>
      </c>
      <c r="D35" s="563">
        <v>152.96</v>
      </c>
      <c r="E35" s="564">
        <v>249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5037326</v>
      </c>
      <c r="C36" s="563" t="s">
        <v>932</v>
      </c>
      <c r="D36" s="563">
        <v>23.02</v>
      </c>
      <c r="E36" s="564">
        <v>158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5105092</v>
      </c>
      <c r="C37" s="563" t="s">
        <v>930</v>
      </c>
      <c r="D37" s="563">
        <v>282.02</v>
      </c>
      <c r="E37" s="564">
        <v>3491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8327232</v>
      </c>
      <c r="C38" s="563" t="s">
        <v>931</v>
      </c>
      <c r="D38" s="563">
        <v>37.92</v>
      </c>
      <c r="E38" s="564">
        <v>0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4964784</v>
      </c>
      <c r="C39" s="563" t="s">
        <v>932</v>
      </c>
      <c r="D39" s="563">
        <v>21.19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897</v>
      </c>
      <c r="D40" s="563">
        <v>65</v>
      </c>
      <c r="E40" s="564">
        <v>880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50" customFormat="1" ht="15.75" x14ac:dyDescent="0.25">
      <c r="A41" s="546" t="s">
        <v>847</v>
      </c>
      <c r="B41" s="546">
        <v>5074495</v>
      </c>
      <c r="C41" s="546"/>
      <c r="D41" s="546"/>
      <c r="E41" s="547"/>
      <c r="F41" s="548"/>
      <c r="G41" s="547"/>
      <c r="H41" s="546"/>
      <c r="I41" s="547"/>
      <c r="J41" s="546"/>
      <c r="K41" s="549" t="s">
        <v>799</v>
      </c>
      <c r="L41" s="549">
        <v>5216006462</v>
      </c>
    </row>
    <row r="42" spans="1:12" s="565" customFormat="1" ht="15.75" x14ac:dyDescent="0.25">
      <c r="A42" s="563" t="s">
        <v>936</v>
      </c>
      <c r="B42" s="563">
        <v>7422</v>
      </c>
      <c r="C42" s="563" t="s">
        <v>929</v>
      </c>
      <c r="D42" s="563">
        <v>14.29</v>
      </c>
      <c r="E42" s="564">
        <v>0</v>
      </c>
      <c r="F42" s="604"/>
      <c r="G42" s="564"/>
      <c r="H42" s="563"/>
      <c r="I42" s="564"/>
      <c r="J42" s="563"/>
      <c r="K42" s="605"/>
      <c r="L42" s="605"/>
    </row>
    <row r="43" spans="1:12" s="565" customFormat="1" ht="15.75" x14ac:dyDescent="0.25">
      <c r="A43" s="563" t="s">
        <v>937</v>
      </c>
      <c r="B43" s="563">
        <v>7391</v>
      </c>
      <c r="C43" s="563" t="s">
        <v>929</v>
      </c>
      <c r="D43" s="563">
        <v>16.89</v>
      </c>
      <c r="E43" s="564">
        <v>49</v>
      </c>
      <c r="F43" s="604"/>
      <c r="G43" s="564"/>
      <c r="H43" s="563"/>
      <c r="I43" s="564"/>
      <c r="J43" s="563"/>
      <c r="K43" s="605"/>
      <c r="L43" s="605"/>
    </row>
    <row r="44" spans="1:12" s="565" customFormat="1" ht="15.75" x14ac:dyDescent="0.25">
      <c r="A44" s="563" t="s">
        <v>836</v>
      </c>
      <c r="B44" s="563">
        <v>5265019</v>
      </c>
      <c r="C44" s="563" t="s">
        <v>928</v>
      </c>
      <c r="D44" s="563">
        <v>14.9</v>
      </c>
      <c r="E44" s="564">
        <v>70</v>
      </c>
      <c r="F44" s="604"/>
      <c r="G44" s="564"/>
      <c r="H44" s="563"/>
      <c r="I44" s="564"/>
      <c r="J44" s="563"/>
      <c r="K44" s="605" t="s">
        <v>801</v>
      </c>
      <c r="L44" s="605">
        <v>5216006464</v>
      </c>
    </row>
    <row r="45" spans="1:12" s="565" customFormat="1" ht="15.75" x14ac:dyDescent="0.25">
      <c r="A45" s="563" t="s">
        <v>837</v>
      </c>
      <c r="B45" s="563">
        <v>149091</v>
      </c>
      <c r="C45" s="563" t="s">
        <v>928</v>
      </c>
      <c r="D45" s="563">
        <v>17.89</v>
      </c>
      <c r="E45" s="564">
        <v>80</v>
      </c>
      <c r="F45" s="604"/>
      <c r="G45" s="564"/>
      <c r="H45" s="563"/>
      <c r="I45" s="564"/>
      <c r="J45" s="563"/>
      <c r="K45" s="605" t="s">
        <v>802</v>
      </c>
      <c r="L45" s="605">
        <v>5216006465</v>
      </c>
    </row>
    <row r="46" spans="1:12" s="565" customFormat="1" ht="15.75" x14ac:dyDescent="0.25">
      <c r="A46" s="563" t="s">
        <v>869</v>
      </c>
      <c r="B46" s="563">
        <v>7010755</v>
      </c>
      <c r="C46" s="563" t="s">
        <v>933</v>
      </c>
      <c r="D46" s="563">
        <v>14.29</v>
      </c>
      <c r="E46" s="564">
        <v>0</v>
      </c>
      <c r="F46" s="604"/>
      <c r="G46" s="564"/>
      <c r="H46" s="563"/>
      <c r="I46" s="564"/>
      <c r="J46" s="563"/>
      <c r="K46" s="605" t="s">
        <v>803</v>
      </c>
      <c r="L46" s="605">
        <v>5216006466</v>
      </c>
    </row>
    <row r="47" spans="1:12" s="565" customFormat="1" ht="15.75" x14ac:dyDescent="0.25">
      <c r="A47" s="563" t="s">
        <v>868</v>
      </c>
      <c r="B47" s="563">
        <v>6722734</v>
      </c>
      <c r="C47" s="563" t="s">
        <v>932</v>
      </c>
      <c r="D47" s="563">
        <v>169.43</v>
      </c>
      <c r="E47" s="564">
        <v>708</v>
      </c>
      <c r="F47" s="604"/>
      <c r="G47" s="564"/>
      <c r="H47" s="563"/>
      <c r="I47" s="564"/>
      <c r="J47" s="563"/>
      <c r="K47" s="605" t="s">
        <v>804</v>
      </c>
      <c r="L47" s="605">
        <v>5216006467</v>
      </c>
    </row>
    <row r="48" spans="1:12" s="565" customFormat="1" ht="15.75" x14ac:dyDescent="0.25">
      <c r="A48" s="563" t="s">
        <v>832</v>
      </c>
      <c r="B48" s="563">
        <v>4426036</v>
      </c>
      <c r="C48" s="563" t="s">
        <v>928</v>
      </c>
      <c r="D48" s="563">
        <v>308.39999999999998</v>
      </c>
      <c r="E48" s="564">
        <v>1950</v>
      </c>
      <c r="F48" s="604"/>
      <c r="G48" s="564"/>
      <c r="H48" s="563"/>
      <c r="I48" s="564"/>
      <c r="J48" s="563"/>
      <c r="K48" s="605" t="s">
        <v>805</v>
      </c>
      <c r="L48" s="605">
        <v>5216006468</v>
      </c>
    </row>
    <row r="49" spans="1:12" s="565" customFormat="1" ht="15.75" x14ac:dyDescent="0.25">
      <c r="A49" s="563" t="s">
        <v>833</v>
      </c>
      <c r="B49" s="563">
        <v>4912148</v>
      </c>
      <c r="C49" s="563" t="s">
        <v>928</v>
      </c>
      <c r="D49" s="563">
        <v>266.75</v>
      </c>
      <c r="E49" s="564">
        <v>1190</v>
      </c>
      <c r="F49" s="604"/>
      <c r="G49" s="564"/>
      <c r="H49" s="563"/>
      <c r="I49" s="564"/>
      <c r="J49" s="563"/>
      <c r="K49" s="605" t="s">
        <v>806</v>
      </c>
      <c r="L49" s="605">
        <v>5216006469</v>
      </c>
    </row>
    <row r="50" spans="1:12" s="565" customFormat="1" ht="15.75" x14ac:dyDescent="0.25">
      <c r="A50" s="563" t="s">
        <v>835</v>
      </c>
      <c r="B50" s="563">
        <v>4914473</v>
      </c>
      <c r="C50" s="563" t="s">
        <v>928</v>
      </c>
      <c r="D50" s="563">
        <v>1052.76</v>
      </c>
      <c r="E50" s="564">
        <v>14220</v>
      </c>
      <c r="F50" s="604"/>
      <c r="G50" s="564"/>
      <c r="H50" s="563"/>
      <c r="I50" s="564"/>
      <c r="J50" s="563"/>
      <c r="K50" s="605" t="s">
        <v>807</v>
      </c>
      <c r="L50" s="605">
        <v>5216006470</v>
      </c>
    </row>
    <row r="51" spans="1:12" s="565" customFormat="1" ht="15.75" x14ac:dyDescent="0.25">
      <c r="A51" s="563" t="s">
        <v>852</v>
      </c>
      <c r="B51" s="563">
        <v>5020429</v>
      </c>
      <c r="C51" s="563" t="s">
        <v>932</v>
      </c>
      <c r="D51" s="563">
        <v>21.19</v>
      </c>
      <c r="E51" s="564">
        <v>150</v>
      </c>
      <c r="F51" s="604"/>
      <c r="G51" s="564"/>
      <c r="H51" s="563"/>
      <c r="I51" s="564"/>
      <c r="J51" s="563"/>
      <c r="K51" s="605" t="s">
        <v>808</v>
      </c>
      <c r="L51" s="605">
        <v>5216006471</v>
      </c>
    </row>
    <row r="52" spans="1:12" s="565" customFormat="1" ht="15.75" x14ac:dyDescent="0.25">
      <c r="A52" s="563" t="s">
        <v>867</v>
      </c>
      <c r="B52" s="563">
        <v>4962800</v>
      </c>
      <c r="C52" s="563" t="s">
        <v>931</v>
      </c>
      <c r="D52" s="563">
        <v>25.69</v>
      </c>
      <c r="E52" s="564">
        <v>160</v>
      </c>
      <c r="F52" s="604"/>
      <c r="G52" s="564"/>
      <c r="H52" s="563"/>
      <c r="I52" s="564"/>
      <c r="J52" s="563"/>
      <c r="K52" s="605" t="s">
        <v>809</v>
      </c>
      <c r="L52" s="605">
        <v>5216006472</v>
      </c>
    </row>
    <row r="53" spans="1:12" s="565" customFormat="1" ht="15.75" x14ac:dyDescent="0.25">
      <c r="A53" s="563" t="s">
        <v>840</v>
      </c>
      <c r="B53" s="563">
        <v>4892432</v>
      </c>
      <c r="C53" s="563" t="s">
        <v>897</v>
      </c>
      <c r="D53" s="563">
        <v>200.86</v>
      </c>
      <c r="E53" s="564">
        <v>1278</v>
      </c>
      <c r="F53" s="604"/>
      <c r="G53" s="564"/>
      <c r="H53" s="563"/>
      <c r="I53" s="564"/>
      <c r="J53" s="563"/>
      <c r="K53" s="605" t="s">
        <v>810</v>
      </c>
      <c r="L53" s="605">
        <v>5216006473</v>
      </c>
    </row>
    <row r="54" spans="1:12" s="565" customFormat="1" ht="15.75" x14ac:dyDescent="0.25">
      <c r="A54" s="563" t="s">
        <v>839</v>
      </c>
      <c r="B54" s="563">
        <v>5021826</v>
      </c>
      <c r="C54" s="563" t="s">
        <v>932</v>
      </c>
      <c r="D54" s="563">
        <v>71.849999999999994</v>
      </c>
      <c r="E54" s="564">
        <v>1041</v>
      </c>
      <c r="F54" s="604"/>
      <c r="G54" s="564"/>
      <c r="H54" s="563"/>
      <c r="I54" s="564"/>
      <c r="J54" s="563"/>
      <c r="K54" s="605" t="s">
        <v>811</v>
      </c>
      <c r="L54" s="605">
        <v>5216006474</v>
      </c>
    </row>
    <row r="55" spans="1:12" s="565" customFormat="1" ht="15.75" x14ac:dyDescent="0.25">
      <c r="A55" s="563" t="s">
        <v>841</v>
      </c>
      <c r="B55" s="563">
        <v>5265050</v>
      </c>
      <c r="C55" s="563" t="s">
        <v>928</v>
      </c>
      <c r="D55" s="563">
        <v>20.36</v>
      </c>
      <c r="E55" s="564">
        <v>150</v>
      </c>
      <c r="F55" s="604"/>
      <c r="G55" s="564"/>
      <c r="H55" s="563"/>
      <c r="I55" s="564"/>
      <c r="J55" s="563"/>
      <c r="K55" s="605" t="s">
        <v>812</v>
      </c>
      <c r="L55" s="605">
        <v>5216006475</v>
      </c>
    </row>
    <row r="56" spans="1:12" s="550" customFormat="1" ht="15.75" x14ac:dyDescent="0.25">
      <c r="A56" s="546" t="s">
        <v>846</v>
      </c>
      <c r="B56" s="546">
        <v>5074402</v>
      </c>
      <c r="C56" s="546"/>
      <c r="D56" s="546"/>
      <c r="E56" s="547"/>
      <c r="F56" s="548"/>
      <c r="G56" s="547"/>
      <c r="H56" s="546"/>
      <c r="I56" s="547"/>
      <c r="J56" s="546"/>
      <c r="K56" s="549" t="s">
        <v>813</v>
      </c>
      <c r="L56" s="549">
        <v>5216006476</v>
      </c>
    </row>
    <row r="57" spans="1:12" s="565" customFormat="1" ht="15.75" x14ac:dyDescent="0.25">
      <c r="A57" s="563" t="s">
        <v>845</v>
      </c>
      <c r="B57" s="563">
        <v>710315</v>
      </c>
      <c r="C57" s="563" t="s">
        <v>931</v>
      </c>
      <c r="D57" s="563">
        <v>17.02</v>
      </c>
      <c r="E57" s="564">
        <v>49</v>
      </c>
      <c r="F57" s="604"/>
      <c r="G57" s="564"/>
      <c r="H57" s="563"/>
      <c r="I57" s="564"/>
      <c r="J57" s="563"/>
      <c r="K57" s="605" t="s">
        <v>814</v>
      </c>
      <c r="L57" s="605">
        <v>5216006477</v>
      </c>
    </row>
    <row r="58" spans="1:12" s="565" customFormat="1" ht="15.75" x14ac:dyDescent="0.25">
      <c r="A58" s="563" t="s">
        <v>866</v>
      </c>
      <c r="B58" s="563">
        <v>5145888</v>
      </c>
      <c r="C58" s="563" t="s">
        <v>934</v>
      </c>
      <c r="D58" s="563">
        <v>32.6</v>
      </c>
      <c r="E58" s="564">
        <v>330</v>
      </c>
      <c r="F58" s="604"/>
      <c r="G58" s="564"/>
      <c r="H58" s="563"/>
      <c r="I58" s="564"/>
      <c r="J58" s="563"/>
      <c r="K58" s="605" t="s">
        <v>815</v>
      </c>
      <c r="L58" s="605">
        <v>5216006478</v>
      </c>
    </row>
    <row r="59" spans="1:12" s="565" customFormat="1" ht="15.75" x14ac:dyDescent="0.25">
      <c r="A59" s="563" t="s">
        <v>844</v>
      </c>
      <c r="B59" s="563">
        <v>5264802</v>
      </c>
      <c r="C59" s="563" t="s">
        <v>929</v>
      </c>
      <c r="D59" s="563">
        <v>101.59</v>
      </c>
      <c r="E59" s="564">
        <v>770</v>
      </c>
      <c r="F59" s="604"/>
      <c r="G59" s="564"/>
      <c r="H59" s="563"/>
      <c r="I59" s="564"/>
      <c r="J59" s="563"/>
      <c r="K59" s="605" t="s">
        <v>816</v>
      </c>
      <c r="L59" s="605">
        <v>5216006479</v>
      </c>
    </row>
    <row r="60" spans="1:12" s="565" customFormat="1" ht="15.75" x14ac:dyDescent="0.25">
      <c r="A60" s="563" t="s">
        <v>877</v>
      </c>
      <c r="B60" s="563">
        <v>5064854</v>
      </c>
      <c r="C60" s="563" t="s">
        <v>932</v>
      </c>
      <c r="D60" s="563">
        <v>524.62</v>
      </c>
      <c r="E60" s="564">
        <v>7440</v>
      </c>
      <c r="F60" s="604"/>
      <c r="G60" s="564"/>
      <c r="H60" s="563"/>
      <c r="I60" s="564"/>
      <c r="J60" s="563"/>
      <c r="K60" s="605" t="s">
        <v>818</v>
      </c>
      <c r="L60" s="605">
        <v>5216006481</v>
      </c>
    </row>
    <row r="61" spans="1:12" s="565" customFormat="1" ht="15.75" x14ac:dyDescent="0.25">
      <c r="A61" s="563" t="s">
        <v>865</v>
      </c>
      <c r="B61" s="563">
        <v>4932391</v>
      </c>
      <c r="C61" s="563" t="s">
        <v>931</v>
      </c>
      <c r="D61" s="563">
        <v>195.36</v>
      </c>
      <c r="E61" s="564">
        <v>1876</v>
      </c>
      <c r="F61" s="604"/>
      <c r="G61" s="564"/>
      <c r="H61" s="563"/>
      <c r="I61" s="564"/>
      <c r="J61" s="563"/>
      <c r="K61" s="605" t="s">
        <v>819</v>
      </c>
      <c r="L61" s="605">
        <v>5216006482</v>
      </c>
    </row>
    <row r="62" spans="1:12" s="565" customFormat="1" ht="15.75" x14ac:dyDescent="0.25">
      <c r="A62" s="563" t="s">
        <v>860</v>
      </c>
      <c r="B62" s="563">
        <v>5041139</v>
      </c>
      <c r="C62" s="563" t="s">
        <v>897</v>
      </c>
      <c r="D62" s="563">
        <v>21.61</v>
      </c>
      <c r="E62" s="564">
        <v>127</v>
      </c>
      <c r="F62" s="604"/>
      <c r="G62" s="564"/>
      <c r="H62" s="563"/>
      <c r="I62" s="564"/>
      <c r="J62" s="563"/>
      <c r="K62" s="605" t="s">
        <v>820</v>
      </c>
      <c r="L62" s="605">
        <v>5216006483</v>
      </c>
    </row>
    <row r="63" spans="1:12" s="565" customFormat="1" ht="15.75" x14ac:dyDescent="0.25">
      <c r="A63" s="563" t="s">
        <v>864</v>
      </c>
      <c r="B63" s="563">
        <v>5037202</v>
      </c>
      <c r="C63" s="563" t="s">
        <v>932</v>
      </c>
      <c r="D63" s="563">
        <v>128.13</v>
      </c>
      <c r="E63" s="564">
        <v>2058</v>
      </c>
      <c r="F63" s="604"/>
      <c r="G63" s="564"/>
      <c r="H63" s="563"/>
      <c r="I63" s="564"/>
      <c r="J63" s="563"/>
      <c r="K63" s="605" t="s">
        <v>821</v>
      </c>
      <c r="L63" s="605">
        <v>5216006484</v>
      </c>
    </row>
    <row r="64" spans="1:12" s="565" customFormat="1" ht="15.75" x14ac:dyDescent="0.25">
      <c r="A64" s="563" t="s">
        <v>861</v>
      </c>
      <c r="B64" s="563">
        <v>4914628</v>
      </c>
      <c r="C64" s="563" t="s">
        <v>928</v>
      </c>
      <c r="D64" s="563">
        <v>330.7</v>
      </c>
      <c r="E64" s="564">
        <v>3035</v>
      </c>
      <c r="F64" s="604"/>
      <c r="G64" s="564"/>
      <c r="H64" s="563"/>
      <c r="I64" s="564"/>
      <c r="J64" s="563"/>
      <c r="K64" s="605" t="s">
        <v>822</v>
      </c>
      <c r="L64" s="605">
        <v>5216006485</v>
      </c>
    </row>
    <row r="65" spans="1:12" s="565" customFormat="1" ht="15.75" x14ac:dyDescent="0.25">
      <c r="A65" s="563" t="s">
        <v>935</v>
      </c>
      <c r="B65" s="563">
        <v>5264554</v>
      </c>
      <c r="C65" s="563" t="s">
        <v>928</v>
      </c>
      <c r="D65" s="563">
        <v>23.5</v>
      </c>
      <c r="E65" s="564">
        <v>140</v>
      </c>
      <c r="F65" s="604"/>
      <c r="G65" s="564"/>
      <c r="H65" s="563"/>
      <c r="I65" s="564"/>
      <c r="J65" s="563"/>
      <c r="K65" s="605" t="s">
        <v>823</v>
      </c>
      <c r="L65" s="605">
        <v>5216006486</v>
      </c>
    </row>
    <row r="66" spans="1:12" s="565" customFormat="1" ht="15.75" x14ac:dyDescent="0.25">
      <c r="A66" s="563" t="s">
        <v>862</v>
      </c>
      <c r="B66" s="563">
        <v>4426005</v>
      </c>
      <c r="C66" s="563" t="s">
        <v>928</v>
      </c>
      <c r="D66" s="563">
        <v>1022.62</v>
      </c>
      <c r="E66" s="564">
        <v>10350</v>
      </c>
      <c r="F66" s="604"/>
      <c r="G66" s="564"/>
      <c r="H66" s="563"/>
      <c r="I66" s="564"/>
      <c r="J66" s="563"/>
      <c r="K66" s="605" t="s">
        <v>824</v>
      </c>
      <c r="L66" s="605">
        <v>5216006487</v>
      </c>
    </row>
    <row r="67" spans="1:12" s="565" customFormat="1" ht="15.75" x14ac:dyDescent="0.25">
      <c r="A67" s="563" t="s">
        <v>843</v>
      </c>
      <c r="B67" s="563">
        <v>8239130</v>
      </c>
      <c r="C67" s="563" t="s">
        <v>930</v>
      </c>
      <c r="D67" s="563">
        <v>31.97</v>
      </c>
      <c r="E67" s="564">
        <v>308</v>
      </c>
      <c r="F67" s="604"/>
      <c r="G67" s="564"/>
      <c r="H67" s="563"/>
      <c r="I67" s="564"/>
      <c r="J67" s="563"/>
      <c r="K67" s="605" t="s">
        <v>825</v>
      </c>
      <c r="L67" s="605">
        <v>5216006488</v>
      </c>
    </row>
    <row r="68" spans="1:12" s="565" customFormat="1" ht="15.75" x14ac:dyDescent="0.25">
      <c r="A68" s="563" t="s">
        <v>842</v>
      </c>
      <c r="B68" s="563">
        <v>5089344</v>
      </c>
      <c r="C68" s="563" t="s">
        <v>930</v>
      </c>
      <c r="D68" s="563">
        <v>15.67</v>
      </c>
      <c r="E68" s="564">
        <v>24</v>
      </c>
      <c r="F68" s="604"/>
      <c r="G68" s="564"/>
      <c r="H68" s="563"/>
      <c r="I68" s="564"/>
      <c r="J68" s="563"/>
      <c r="K68" s="605" t="s">
        <v>826</v>
      </c>
      <c r="L68" s="605">
        <v>5216006489</v>
      </c>
    </row>
    <row r="69" spans="1:12" s="551" customFormat="1" ht="15.75" x14ac:dyDescent="0.25">
      <c r="A69" s="546" t="s">
        <v>862</v>
      </c>
      <c r="B69" s="546">
        <v>4426005</v>
      </c>
      <c r="C69" s="546"/>
      <c r="D69" s="546"/>
      <c r="E69" s="547"/>
      <c r="F69" s="548"/>
      <c r="G69" s="547"/>
      <c r="H69" s="546"/>
      <c r="I69" s="547"/>
      <c r="J69" s="546"/>
      <c r="K69" s="549" t="s">
        <v>824</v>
      </c>
      <c r="L69" s="549">
        <v>5216006487</v>
      </c>
    </row>
    <row r="70" spans="1:12" s="551" customFormat="1" ht="15.75" x14ac:dyDescent="0.25">
      <c r="A70" s="546" t="s">
        <v>843</v>
      </c>
      <c r="B70" s="546">
        <v>8239130</v>
      </c>
      <c r="C70" s="546"/>
      <c r="D70" s="546"/>
      <c r="E70" s="547"/>
      <c r="F70" s="548"/>
      <c r="G70" s="547"/>
      <c r="H70" s="546"/>
      <c r="I70" s="547"/>
      <c r="J70" s="546"/>
      <c r="K70" s="549" t="s">
        <v>825</v>
      </c>
      <c r="L70" s="549">
        <v>5216006488</v>
      </c>
    </row>
    <row r="71" spans="1:12" s="551" customFormat="1" ht="15.75" x14ac:dyDescent="0.25">
      <c r="A71" s="546" t="s">
        <v>842</v>
      </c>
      <c r="B71" s="546">
        <v>5089344</v>
      </c>
      <c r="C71" s="546"/>
      <c r="D71" s="546"/>
      <c r="E71" s="547"/>
      <c r="F71" s="548"/>
      <c r="G71" s="547"/>
      <c r="H71" s="546"/>
      <c r="I71" s="547"/>
      <c r="J71" s="546"/>
      <c r="K71" s="549" t="s">
        <v>826</v>
      </c>
      <c r="L71" s="549">
        <v>5216006489</v>
      </c>
    </row>
    <row r="72" spans="1:12" s="199" customFormat="1" ht="26.25" x14ac:dyDescent="0.25">
      <c r="A72" s="280" t="s">
        <v>878</v>
      </c>
      <c r="B72" s="281"/>
      <c r="C72" s="249"/>
      <c r="D72" s="250"/>
      <c r="E72" s="251"/>
      <c r="F72" s="543"/>
      <c r="G72" s="251"/>
      <c r="H72" s="250"/>
      <c r="I72" s="251"/>
      <c r="J72" s="249"/>
      <c r="K72" s="253"/>
      <c r="L72" s="253"/>
    </row>
    <row r="73" spans="1:12" s="149" customFormat="1" ht="26.25" x14ac:dyDescent="0.25">
      <c r="A73" s="260" t="s">
        <v>51</v>
      </c>
      <c r="B73" s="261" t="s">
        <v>208</v>
      </c>
      <c r="C73" s="266" t="s">
        <v>915</v>
      </c>
      <c r="D73" s="590">
        <v>228</v>
      </c>
      <c r="E73" s="595">
        <v>1936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ht="26.25" x14ac:dyDescent="0.25">
      <c r="A74" s="260" t="s">
        <v>52</v>
      </c>
      <c r="B74" s="261" t="s">
        <v>209</v>
      </c>
      <c r="C74" s="266" t="s">
        <v>915</v>
      </c>
      <c r="D74" s="263">
        <v>185</v>
      </c>
      <c r="E74" s="264">
        <v>1315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ht="26.25" x14ac:dyDescent="0.25">
      <c r="A75" s="260" t="s">
        <v>54</v>
      </c>
      <c r="B75" s="261">
        <v>7039100</v>
      </c>
      <c r="C75" s="266" t="s">
        <v>915</v>
      </c>
      <c r="D75" s="263">
        <v>99</v>
      </c>
      <c r="E75" s="264">
        <v>478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55</v>
      </c>
      <c r="B76" s="261" t="s">
        <v>212</v>
      </c>
      <c r="C76" s="266" t="s">
        <v>915</v>
      </c>
      <c r="D76" s="263">
        <v>41</v>
      </c>
      <c r="E76" s="264">
        <v>106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56</v>
      </c>
      <c r="B77" s="261" t="s">
        <v>213</v>
      </c>
      <c r="C77" s="266" t="s">
        <v>915</v>
      </c>
      <c r="D77" s="263">
        <v>38</v>
      </c>
      <c r="E77" s="264">
        <v>75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57</v>
      </c>
      <c r="B78" s="261" t="s">
        <v>214</v>
      </c>
      <c r="C78" s="266" t="s">
        <v>915</v>
      </c>
      <c r="D78" s="263">
        <v>303</v>
      </c>
      <c r="E78" s="264">
        <v>2477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58</v>
      </c>
      <c r="B79" s="261" t="s">
        <v>215</v>
      </c>
      <c r="C79" s="266" t="s">
        <v>915</v>
      </c>
      <c r="D79" s="263">
        <v>115</v>
      </c>
      <c r="E79" s="264">
        <v>913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770</v>
      </c>
      <c r="B80" s="261" t="s">
        <v>216</v>
      </c>
      <c r="C80" s="266" t="s">
        <v>915</v>
      </c>
      <c r="D80" s="591">
        <v>56</v>
      </c>
      <c r="E80" s="592">
        <v>249</v>
      </c>
      <c r="F80" s="58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60</v>
      </c>
      <c r="B81" s="261" t="s">
        <v>217</v>
      </c>
      <c r="C81" s="266" t="s">
        <v>915</v>
      </c>
      <c r="D81" s="263">
        <v>57</v>
      </c>
      <c r="E81" s="264">
        <v>65</v>
      </c>
      <c r="F81" s="58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61</v>
      </c>
      <c r="B82" s="261" t="s">
        <v>218</v>
      </c>
      <c r="C82" s="266" t="s">
        <v>915</v>
      </c>
      <c r="D82" s="263">
        <v>31</v>
      </c>
      <c r="E82" s="264">
        <v>2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62</v>
      </c>
      <c r="B83" s="261" t="s">
        <v>219</v>
      </c>
      <c r="C83" s="266" t="s">
        <v>915</v>
      </c>
      <c r="D83" s="263">
        <v>34</v>
      </c>
      <c r="E83" s="264">
        <v>33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771</v>
      </c>
      <c r="B84" s="261">
        <v>1402294701</v>
      </c>
      <c r="C84" s="266" t="s">
        <v>915</v>
      </c>
      <c r="D84" s="263">
        <v>62.15</v>
      </c>
      <c r="E84" s="264">
        <v>119</v>
      </c>
      <c r="F84" s="583"/>
      <c r="G84" s="264"/>
      <c r="H84" s="263"/>
      <c r="I84" s="264"/>
      <c r="J84" s="262"/>
      <c r="K84" s="265"/>
      <c r="L84" s="265"/>
    </row>
    <row r="85" spans="1:12" s="148" customFormat="1" x14ac:dyDescent="0.25">
      <c r="A85" s="254" t="s">
        <v>621</v>
      </c>
      <c r="B85" s="255" t="s">
        <v>201</v>
      </c>
      <c r="C85" s="256" t="s">
        <v>915</v>
      </c>
      <c r="D85" s="257">
        <v>71</v>
      </c>
      <c r="E85" s="258">
        <v>222</v>
      </c>
      <c r="F85" s="586"/>
      <c r="G85" s="258"/>
      <c r="H85" s="257"/>
      <c r="I85" s="258"/>
      <c r="J85" s="256" t="s">
        <v>33</v>
      </c>
      <c r="K85" s="259"/>
      <c r="L85" s="259"/>
    </row>
    <row r="86" spans="1:12" s="149" customFormat="1" x14ac:dyDescent="0.25">
      <c r="A86" s="260" t="s">
        <v>768</v>
      </c>
      <c r="B86" s="261" t="s">
        <v>202</v>
      </c>
      <c r="C86" s="266" t="s">
        <v>915</v>
      </c>
      <c r="D86" s="263">
        <v>1484</v>
      </c>
      <c r="E86" s="264">
        <v>9960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96</v>
      </c>
      <c r="B87" s="261">
        <v>7815400</v>
      </c>
      <c r="C87" s="262" t="s">
        <v>915</v>
      </c>
      <c r="D87" s="263">
        <v>45</v>
      </c>
      <c r="E87" s="264">
        <v>65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97</v>
      </c>
      <c r="B88" s="261" t="s">
        <v>204</v>
      </c>
      <c r="C88" s="262" t="s">
        <v>915</v>
      </c>
      <c r="D88" s="263">
        <v>58</v>
      </c>
      <c r="E88" s="264">
        <v>11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149" customFormat="1" x14ac:dyDescent="0.25">
      <c r="A89" s="260" t="s">
        <v>98</v>
      </c>
      <c r="B89" s="261" t="s">
        <v>205</v>
      </c>
      <c r="C89" s="262" t="s">
        <v>915</v>
      </c>
      <c r="D89" s="263">
        <v>31</v>
      </c>
      <c r="E89" s="264">
        <v>7</v>
      </c>
      <c r="F89" s="58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769</v>
      </c>
      <c r="B90" s="261" t="s">
        <v>206</v>
      </c>
      <c r="C90" s="262" t="s">
        <v>915</v>
      </c>
      <c r="D90" s="263">
        <v>59</v>
      </c>
      <c r="E90" s="264">
        <v>198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100</v>
      </c>
      <c r="B91" s="282">
        <v>1323346600</v>
      </c>
      <c r="C91" s="262" t="s">
        <v>915</v>
      </c>
      <c r="D91" s="263">
        <v>331</v>
      </c>
      <c r="E91" s="264">
        <v>1800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101</v>
      </c>
      <c r="B92" s="282">
        <v>1322699400</v>
      </c>
      <c r="C92" s="262" t="s">
        <v>915</v>
      </c>
      <c r="D92" s="263">
        <v>563</v>
      </c>
      <c r="E92" s="264">
        <v>4680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352" customFormat="1" x14ac:dyDescent="0.25">
      <c r="A93" s="346" t="s">
        <v>772</v>
      </c>
      <c r="B93" s="347" t="s">
        <v>200</v>
      </c>
      <c r="C93" s="348" t="s">
        <v>915</v>
      </c>
      <c r="D93" s="349">
        <v>291</v>
      </c>
      <c r="E93" s="350">
        <v>4.5</v>
      </c>
      <c r="F93" s="593"/>
      <c r="G93" s="350"/>
      <c r="H93" s="349"/>
      <c r="I93" s="350"/>
      <c r="J93" s="348" t="s">
        <v>33</v>
      </c>
      <c r="K93" s="351"/>
      <c r="L93" s="351"/>
    </row>
    <row r="94" spans="1:12" s="149" customFormat="1" x14ac:dyDescent="0.25">
      <c r="A94" s="260" t="s">
        <v>110</v>
      </c>
      <c r="B94" s="261" t="s">
        <v>207</v>
      </c>
      <c r="C94" s="262" t="s">
        <v>915</v>
      </c>
      <c r="D94" s="263">
        <v>137</v>
      </c>
      <c r="E94" s="264">
        <v>401</v>
      </c>
      <c r="F94" s="58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111</v>
      </c>
      <c r="B95" s="261" t="s">
        <v>222</v>
      </c>
      <c r="C95" s="262" t="s">
        <v>915</v>
      </c>
      <c r="D95" s="263">
        <v>70</v>
      </c>
      <c r="E95" s="264">
        <v>191</v>
      </c>
      <c r="F95" s="583"/>
      <c r="G95" s="264"/>
      <c r="H95" s="263"/>
      <c r="I95" s="264"/>
      <c r="J95" s="262" t="s">
        <v>33</v>
      </c>
      <c r="K95" s="265"/>
      <c r="L95" s="265"/>
    </row>
    <row r="96" spans="1:12" s="149" customFormat="1" x14ac:dyDescent="0.25">
      <c r="A96" s="260" t="s">
        <v>117</v>
      </c>
      <c r="B96" s="261" t="s">
        <v>220</v>
      </c>
      <c r="C96" s="262" t="s">
        <v>915</v>
      </c>
      <c r="D96" s="263">
        <v>95</v>
      </c>
      <c r="E96" s="264">
        <v>429</v>
      </c>
      <c r="F96" s="583"/>
      <c r="G96" s="264"/>
      <c r="H96" s="263"/>
      <c r="I96" s="264"/>
      <c r="J96" s="262" t="s">
        <v>33</v>
      </c>
      <c r="K96" s="265"/>
      <c r="L96" s="265"/>
    </row>
    <row r="97" spans="1:12" s="149" customFormat="1" x14ac:dyDescent="0.25">
      <c r="A97" s="260" t="s">
        <v>118</v>
      </c>
      <c r="B97" s="261" t="s">
        <v>221</v>
      </c>
      <c r="C97" s="266" t="s">
        <v>915</v>
      </c>
      <c r="D97" s="263">
        <v>68</v>
      </c>
      <c r="E97" s="264">
        <v>363</v>
      </c>
      <c r="F97" s="583"/>
      <c r="G97" s="264"/>
      <c r="H97" s="263"/>
      <c r="I97" s="264"/>
      <c r="J97" s="262" t="s">
        <v>33</v>
      </c>
      <c r="K97" s="265"/>
      <c r="L97" s="265"/>
    </row>
    <row r="98" spans="1:12" s="149" customFormat="1" x14ac:dyDescent="0.25">
      <c r="A98" s="260" t="s">
        <v>701</v>
      </c>
      <c r="B98" s="261">
        <v>1323115001</v>
      </c>
      <c r="C98" s="266" t="s">
        <v>915</v>
      </c>
      <c r="D98" s="263">
        <v>1865</v>
      </c>
      <c r="E98" s="264">
        <v>21360</v>
      </c>
      <c r="F98" s="58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683</v>
      </c>
      <c r="B99" s="261">
        <v>1322673502</v>
      </c>
      <c r="C99" s="266" t="s">
        <v>915</v>
      </c>
      <c r="D99" s="263">
        <v>50</v>
      </c>
      <c r="E99" s="264">
        <v>0</v>
      </c>
      <c r="F99" s="583"/>
      <c r="G99" s="264"/>
      <c r="H99" s="263"/>
      <c r="I99" s="264"/>
      <c r="J99" s="262"/>
      <c r="K99" s="265"/>
      <c r="L99" s="265"/>
    </row>
    <row r="100" spans="1:12" s="149" customFormat="1" x14ac:dyDescent="0.25">
      <c r="A100" s="260" t="s">
        <v>702</v>
      </c>
      <c r="B100" s="261">
        <v>1322725900</v>
      </c>
      <c r="C100" s="266" t="s">
        <v>915</v>
      </c>
      <c r="D100" s="263">
        <v>429</v>
      </c>
      <c r="E100" s="264">
        <v>1800</v>
      </c>
      <c r="F100" s="583"/>
      <c r="G100" s="264"/>
      <c r="H100" s="263"/>
      <c r="I100" s="264"/>
      <c r="J100" s="262"/>
      <c r="K100" s="265"/>
      <c r="L100" s="265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543"/>
      <c r="G101" s="251"/>
      <c r="H101" s="250"/>
      <c r="I101" s="251"/>
      <c r="J101" s="249"/>
      <c r="K101" s="253"/>
      <c r="L101" s="253"/>
    </row>
    <row r="102" spans="1:12" s="149" customFormat="1" x14ac:dyDescent="0.25">
      <c r="A102" s="260" t="s">
        <v>65</v>
      </c>
      <c r="B102" s="261" t="s">
        <v>163</v>
      </c>
      <c r="C102" s="262" t="s">
        <v>915</v>
      </c>
      <c r="D102" s="263"/>
      <c r="E102" s="264"/>
      <c r="F102" s="583"/>
      <c r="G102" s="264"/>
      <c r="H102" s="263">
        <v>184.34</v>
      </c>
      <c r="I102" s="264">
        <v>265</v>
      </c>
      <c r="J102" s="262"/>
      <c r="K102" s="265"/>
      <c r="L102" s="265"/>
    </row>
    <row r="103" spans="1:12" s="149" customFormat="1" x14ac:dyDescent="0.25">
      <c r="A103" s="260" t="s">
        <v>37</v>
      </c>
      <c r="B103" s="261" t="s">
        <v>190</v>
      </c>
      <c r="C103" s="262" t="s">
        <v>915</v>
      </c>
      <c r="D103" s="263"/>
      <c r="E103" s="264"/>
      <c r="F103" s="583"/>
      <c r="G103" s="264"/>
      <c r="H103" s="263">
        <v>153.61000000000001</v>
      </c>
      <c r="I103" s="264">
        <v>219</v>
      </c>
      <c r="J103" s="262"/>
      <c r="K103" s="265"/>
      <c r="L103" s="265"/>
    </row>
    <row r="104" spans="1:12" s="149" customFormat="1" x14ac:dyDescent="0.25">
      <c r="A104" s="260" t="s">
        <v>71</v>
      </c>
      <c r="B104" s="261" t="s">
        <v>188</v>
      </c>
      <c r="C104" s="262" t="s">
        <v>915</v>
      </c>
      <c r="D104" s="263"/>
      <c r="E104" s="264"/>
      <c r="F104" s="583"/>
      <c r="G104" s="264"/>
      <c r="H104" s="263">
        <v>44.34</v>
      </c>
      <c r="I104" s="264">
        <v>40</v>
      </c>
      <c r="J104" s="262"/>
      <c r="K104" s="265"/>
      <c r="L104" s="265"/>
    </row>
    <row r="105" spans="1:12" s="149" customFormat="1" x14ac:dyDescent="0.25">
      <c r="A105" s="260" t="s">
        <v>72</v>
      </c>
      <c r="B105" s="261" t="s">
        <v>187</v>
      </c>
      <c r="C105" s="262" t="s">
        <v>915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5"/>
      <c r="L105" s="265"/>
    </row>
    <row r="106" spans="1:12" s="149" customFormat="1" x14ac:dyDescent="0.25">
      <c r="A106" s="260" t="s">
        <v>73</v>
      </c>
      <c r="B106" s="261" t="s">
        <v>171</v>
      </c>
      <c r="C106" s="262" t="s">
        <v>915</v>
      </c>
      <c r="D106" s="263"/>
      <c r="E106" s="264"/>
      <c r="F106" s="583"/>
      <c r="G106" s="264"/>
      <c r="H106" s="263">
        <v>34.729999999999997</v>
      </c>
      <c r="I106" s="264">
        <v>22</v>
      </c>
      <c r="J106" s="262"/>
      <c r="K106" s="265"/>
      <c r="L106" s="265"/>
    </row>
    <row r="107" spans="1:12" s="149" customFormat="1" x14ac:dyDescent="0.25">
      <c r="A107" s="260" t="s">
        <v>74</v>
      </c>
      <c r="B107" s="261" t="s">
        <v>170</v>
      </c>
      <c r="C107" s="262" t="s">
        <v>915</v>
      </c>
      <c r="D107" s="263"/>
      <c r="E107" s="264"/>
      <c r="F107" s="583"/>
      <c r="G107" s="264"/>
      <c r="H107" s="263">
        <v>33.659999999999997</v>
      </c>
      <c r="I107" s="264">
        <v>7</v>
      </c>
      <c r="J107" s="262"/>
      <c r="K107" s="265"/>
      <c r="L107" s="265"/>
    </row>
    <row r="108" spans="1:12" s="149" customFormat="1" x14ac:dyDescent="0.25">
      <c r="A108" s="260" t="s">
        <v>75</v>
      </c>
      <c r="B108" s="261" t="s">
        <v>189</v>
      </c>
      <c r="C108" s="262" t="s">
        <v>915</v>
      </c>
      <c r="D108" s="263"/>
      <c r="E108" s="264"/>
      <c r="F108" s="583"/>
      <c r="G108" s="264"/>
      <c r="H108" s="263">
        <v>48.61</v>
      </c>
      <c r="I108" s="264">
        <v>48</v>
      </c>
      <c r="J108" s="262"/>
      <c r="K108" s="265"/>
      <c r="L108" s="265"/>
    </row>
    <row r="109" spans="1:12" s="149" customFormat="1" x14ac:dyDescent="0.25">
      <c r="A109" s="260" t="s">
        <v>76</v>
      </c>
      <c r="B109" s="261" t="s">
        <v>169</v>
      </c>
      <c r="C109" s="262" t="s">
        <v>915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60" t="s">
        <v>77</v>
      </c>
      <c r="B110" s="261" t="s">
        <v>168</v>
      </c>
      <c r="C110" s="262" t="s">
        <v>915</v>
      </c>
      <c r="D110" s="263"/>
      <c r="E110" s="264"/>
      <c r="F110" s="583"/>
      <c r="G110" s="264"/>
      <c r="H110" s="263">
        <v>93.9</v>
      </c>
      <c r="I110" s="264">
        <v>127</v>
      </c>
      <c r="J110" s="262"/>
      <c r="K110" s="265"/>
      <c r="L110" s="265"/>
    </row>
    <row r="111" spans="1:12" s="149" customFormat="1" x14ac:dyDescent="0.25">
      <c r="A111" s="260" t="s">
        <v>78</v>
      </c>
      <c r="B111" s="261" t="s">
        <v>197</v>
      </c>
      <c r="C111" s="262" t="s">
        <v>915</v>
      </c>
      <c r="D111" s="263"/>
      <c r="E111" s="264"/>
      <c r="F111" s="583"/>
      <c r="G111" s="264"/>
      <c r="H111" s="263">
        <v>33.659999999999997</v>
      </c>
      <c r="I111" s="264">
        <v>17</v>
      </c>
      <c r="J111" s="262"/>
      <c r="K111" s="265"/>
      <c r="L111" s="265"/>
    </row>
    <row r="112" spans="1:12" s="149" customFormat="1" x14ac:dyDescent="0.25">
      <c r="A112" s="260" t="s">
        <v>79</v>
      </c>
      <c r="B112" s="261" t="s">
        <v>167</v>
      </c>
      <c r="C112" s="266" t="s">
        <v>915</v>
      </c>
      <c r="D112" s="263"/>
      <c r="E112" s="264"/>
      <c r="F112" s="58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83" t="s">
        <v>80</v>
      </c>
      <c r="B113" s="284" t="s">
        <v>177</v>
      </c>
      <c r="C113" s="285" t="s">
        <v>915</v>
      </c>
      <c r="D113" s="286"/>
      <c r="E113" s="287"/>
      <c r="F113" s="594"/>
      <c r="G113" s="287"/>
      <c r="H113" s="286">
        <v>33.659999999999997</v>
      </c>
      <c r="I113" s="287">
        <v>0</v>
      </c>
      <c r="J113" s="288"/>
      <c r="K113" s="265"/>
      <c r="L113" s="265"/>
    </row>
    <row r="114" spans="1:12" s="149" customFormat="1" x14ac:dyDescent="0.25">
      <c r="A114" s="260" t="s">
        <v>81</v>
      </c>
      <c r="B114" s="261" t="s">
        <v>180</v>
      </c>
      <c r="C114" s="262" t="s">
        <v>915</v>
      </c>
      <c r="D114" s="263"/>
      <c r="E114" s="264"/>
      <c r="F114" s="583"/>
      <c r="G114" s="264"/>
      <c r="H114" s="263">
        <v>33.659999999999997</v>
      </c>
      <c r="I114" s="264">
        <v>19</v>
      </c>
      <c r="J114" s="262"/>
      <c r="K114" s="265"/>
      <c r="L114" s="265"/>
    </row>
    <row r="115" spans="1:12" s="149" customFormat="1" x14ac:dyDescent="0.25">
      <c r="A115" s="260" t="s">
        <v>82</v>
      </c>
      <c r="B115" s="261" t="s">
        <v>179</v>
      </c>
      <c r="C115" s="262" t="s">
        <v>915</v>
      </c>
      <c r="D115" s="263"/>
      <c r="E115" s="264"/>
      <c r="F115" s="583"/>
      <c r="G115" s="264"/>
      <c r="H115" s="263">
        <v>66.77</v>
      </c>
      <c r="I115" s="264">
        <v>82</v>
      </c>
      <c r="J115" s="262"/>
      <c r="K115" s="265"/>
      <c r="L115" s="265"/>
    </row>
    <row r="116" spans="1:12" s="149" customFormat="1" x14ac:dyDescent="0.25">
      <c r="A116" s="260" t="s">
        <v>83</v>
      </c>
      <c r="B116" s="261" t="s">
        <v>178</v>
      </c>
      <c r="C116" s="262" t="s">
        <v>915</v>
      </c>
      <c r="D116" s="263"/>
      <c r="E116" s="264"/>
      <c r="F116" s="583"/>
      <c r="G116" s="264"/>
      <c r="H116" s="263">
        <v>33.659999999999997</v>
      </c>
      <c r="I116" s="264">
        <v>19</v>
      </c>
      <c r="J116" s="262"/>
      <c r="K116" s="265"/>
      <c r="L116" s="265"/>
    </row>
    <row r="117" spans="1:12" s="149" customFormat="1" x14ac:dyDescent="0.25">
      <c r="A117" s="260" t="s">
        <v>84</v>
      </c>
      <c r="B117" s="261" t="s">
        <v>175</v>
      </c>
      <c r="C117" s="262" t="s">
        <v>915</v>
      </c>
      <c r="D117" s="263"/>
      <c r="E117" s="264"/>
      <c r="F117" s="583"/>
      <c r="G117" s="264"/>
      <c r="H117" s="263">
        <v>33.659999999999997</v>
      </c>
      <c r="I117" s="264">
        <v>13</v>
      </c>
      <c r="J117" s="262"/>
      <c r="K117" s="265"/>
      <c r="L117" s="265"/>
    </row>
    <row r="118" spans="1:12" s="149" customFormat="1" x14ac:dyDescent="0.25">
      <c r="A118" s="260" t="s">
        <v>85</v>
      </c>
      <c r="B118" s="261" t="s">
        <v>184</v>
      </c>
      <c r="C118" s="262" t="s">
        <v>915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86</v>
      </c>
      <c r="B119" s="261" t="s">
        <v>185</v>
      </c>
      <c r="C119" s="262" t="s">
        <v>915</v>
      </c>
      <c r="D119" s="263"/>
      <c r="E119" s="264"/>
      <c r="F119" s="583"/>
      <c r="G119" s="264"/>
      <c r="H119" s="263">
        <v>33.659999999999997</v>
      </c>
      <c r="I119" s="264">
        <v>1</v>
      </c>
      <c r="J119" s="262"/>
      <c r="K119" s="265"/>
      <c r="L119" s="265"/>
    </row>
    <row r="120" spans="1:12" s="149" customFormat="1" x14ac:dyDescent="0.25">
      <c r="A120" s="260" t="s">
        <v>87</v>
      </c>
      <c r="B120" s="261" t="s">
        <v>181</v>
      </c>
      <c r="C120" s="262" t="s">
        <v>915</v>
      </c>
      <c r="D120" s="263"/>
      <c r="E120" s="264"/>
      <c r="F120" s="583"/>
      <c r="G120" s="264"/>
      <c r="H120" s="263">
        <v>33.659999999999997</v>
      </c>
      <c r="I120" s="264">
        <v>3</v>
      </c>
      <c r="J120" s="262"/>
      <c r="K120" s="265"/>
      <c r="L120" s="265"/>
    </row>
    <row r="121" spans="1:12" s="149" customFormat="1" x14ac:dyDescent="0.25">
      <c r="A121" s="260" t="s">
        <v>88</v>
      </c>
      <c r="B121" s="261" t="s">
        <v>172</v>
      </c>
      <c r="C121" s="262" t="s">
        <v>915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5"/>
      <c r="L121" s="265"/>
    </row>
    <row r="122" spans="1:12" s="149" customFormat="1" x14ac:dyDescent="0.25">
      <c r="A122" s="260" t="s">
        <v>89</v>
      </c>
      <c r="B122" s="261" t="s">
        <v>173</v>
      </c>
      <c r="C122" s="262" t="s">
        <v>915</v>
      </c>
      <c r="D122" s="263"/>
      <c r="E122" s="264"/>
      <c r="F122" s="583"/>
      <c r="G122" s="264"/>
      <c r="H122" s="263">
        <v>101.69</v>
      </c>
      <c r="I122" s="264">
        <v>139</v>
      </c>
      <c r="J122" s="262"/>
      <c r="K122" s="265"/>
      <c r="L122" s="265"/>
    </row>
    <row r="123" spans="1:12" s="149" customFormat="1" x14ac:dyDescent="0.25">
      <c r="A123" s="260" t="s">
        <v>90</v>
      </c>
      <c r="B123" s="261" t="s">
        <v>174</v>
      </c>
      <c r="C123" s="262" t="s">
        <v>915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91</v>
      </c>
      <c r="B124" s="261" t="s">
        <v>182</v>
      </c>
      <c r="C124" s="262" t="s">
        <v>915</v>
      </c>
      <c r="D124" s="263"/>
      <c r="E124" s="264"/>
      <c r="F124" s="583"/>
      <c r="G124" s="264"/>
      <c r="H124" s="263">
        <v>35.26</v>
      </c>
      <c r="I124" s="264">
        <v>23</v>
      </c>
      <c r="J124" s="262"/>
      <c r="K124" s="265"/>
      <c r="L124" s="265"/>
    </row>
    <row r="125" spans="1:12" s="149" customFormat="1" x14ac:dyDescent="0.25">
      <c r="A125" s="260" t="s">
        <v>92</v>
      </c>
      <c r="B125" s="261" t="s">
        <v>186</v>
      </c>
      <c r="C125" s="262" t="s">
        <v>915</v>
      </c>
      <c r="D125" s="263"/>
      <c r="E125" s="264"/>
      <c r="F125" s="583"/>
      <c r="G125" s="264"/>
      <c r="H125" s="263">
        <v>33.659999999999997</v>
      </c>
      <c r="I125" s="264">
        <v>0</v>
      </c>
      <c r="J125" s="262"/>
      <c r="K125" s="265"/>
      <c r="L125" s="265"/>
    </row>
    <row r="126" spans="1:12" s="149" customFormat="1" x14ac:dyDescent="0.25">
      <c r="A126" s="260" t="s">
        <v>93</v>
      </c>
      <c r="B126" s="261" t="s">
        <v>183</v>
      </c>
      <c r="C126" s="262" t="s">
        <v>915</v>
      </c>
      <c r="D126" s="263"/>
      <c r="E126" s="264"/>
      <c r="F126" s="583"/>
      <c r="G126" s="264"/>
      <c r="H126" s="263">
        <v>33.659999999999997</v>
      </c>
      <c r="I126" s="264">
        <v>0</v>
      </c>
      <c r="J126" s="262"/>
      <c r="K126" s="265"/>
      <c r="L126" s="265"/>
    </row>
    <row r="127" spans="1:12" s="149" customFormat="1" x14ac:dyDescent="0.25">
      <c r="A127" s="260" t="s">
        <v>103</v>
      </c>
      <c r="B127" s="261" t="s">
        <v>194</v>
      </c>
      <c r="C127" s="262" t="s">
        <v>915</v>
      </c>
      <c r="D127" s="263"/>
      <c r="E127" s="264"/>
      <c r="F127" s="583"/>
      <c r="G127" s="264"/>
      <c r="H127" s="263">
        <v>33.659999999999997</v>
      </c>
      <c r="I127" s="264">
        <v>3</v>
      </c>
      <c r="J127" s="262"/>
      <c r="K127" s="265"/>
      <c r="L127" s="265"/>
    </row>
    <row r="128" spans="1:12" s="603" customFormat="1" x14ac:dyDescent="0.25">
      <c r="A128" s="596" t="s">
        <v>104</v>
      </c>
      <c r="B128" s="597" t="s">
        <v>195</v>
      </c>
      <c r="C128" s="598"/>
      <c r="D128" s="599"/>
      <c r="E128" s="600"/>
      <c r="F128" s="601"/>
      <c r="G128" s="600"/>
      <c r="H128" s="599"/>
      <c r="I128" s="600"/>
      <c r="J128" s="598"/>
      <c r="K128" s="602"/>
      <c r="L128" s="602"/>
    </row>
    <row r="129" spans="1:12" s="148" customFormat="1" x14ac:dyDescent="0.25">
      <c r="A129" s="254" t="s">
        <v>105</v>
      </c>
      <c r="B129" s="255" t="s">
        <v>196</v>
      </c>
      <c r="C129" s="256" t="s">
        <v>915</v>
      </c>
      <c r="D129" s="257"/>
      <c r="E129" s="258"/>
      <c r="F129" s="586"/>
      <c r="G129" s="258"/>
      <c r="H129" s="257">
        <v>50.49</v>
      </c>
      <c r="I129" s="258">
        <v>2</v>
      </c>
      <c r="J129" s="256"/>
      <c r="K129" s="259"/>
      <c r="L129" s="259"/>
    </row>
    <row r="130" spans="1:12" s="149" customFormat="1" x14ac:dyDescent="0.25">
      <c r="A130" s="260" t="s">
        <v>68</v>
      </c>
      <c r="B130" s="261" t="s">
        <v>166</v>
      </c>
      <c r="C130" s="262" t="s">
        <v>915</v>
      </c>
      <c r="D130" s="263"/>
      <c r="E130" s="264"/>
      <c r="F130" s="583"/>
      <c r="G130" s="264"/>
      <c r="H130" s="263">
        <v>44.87</v>
      </c>
      <c r="I130" s="264">
        <v>41</v>
      </c>
      <c r="J130" s="262"/>
      <c r="K130" s="265"/>
      <c r="L130" s="265"/>
    </row>
    <row r="131" spans="1:12" s="149" customFormat="1" x14ac:dyDescent="0.25">
      <c r="A131" s="260" t="s">
        <v>46</v>
      </c>
      <c r="B131" s="261" t="s">
        <v>193</v>
      </c>
      <c r="C131" s="262" t="s">
        <v>915</v>
      </c>
      <c r="D131" s="263"/>
      <c r="E131" s="264"/>
      <c r="F131" s="583"/>
      <c r="G131" s="264"/>
      <c r="H131" s="263">
        <v>33.659999999999997</v>
      </c>
      <c r="I131" s="264">
        <v>18</v>
      </c>
      <c r="J131" s="262"/>
      <c r="K131" s="265"/>
      <c r="L131" s="265"/>
    </row>
    <row r="132" spans="1:12" s="149" customFormat="1" x14ac:dyDescent="0.25">
      <c r="A132" s="260" t="s">
        <v>17</v>
      </c>
      <c r="B132" s="261" t="s">
        <v>192</v>
      </c>
      <c r="C132" s="262" t="s">
        <v>915</v>
      </c>
      <c r="D132" s="263"/>
      <c r="E132" s="264"/>
      <c r="F132" s="583"/>
      <c r="G132" s="264"/>
      <c r="H132" s="263">
        <v>33.659999999999997</v>
      </c>
      <c r="I132" s="264">
        <v>0</v>
      </c>
      <c r="J132" s="262"/>
      <c r="K132" s="265"/>
      <c r="L132" s="265"/>
    </row>
    <row r="133" spans="1:12" s="149" customFormat="1" x14ac:dyDescent="0.25">
      <c r="A133" s="260" t="s">
        <v>47</v>
      </c>
      <c r="B133" s="261" t="s">
        <v>139</v>
      </c>
      <c r="C133" s="262" t="s">
        <v>920</v>
      </c>
      <c r="D133" s="263"/>
      <c r="E133" s="264"/>
      <c r="F133" s="583"/>
      <c r="G133" s="264"/>
      <c r="H133" s="263">
        <v>68.900000000000006</v>
      </c>
      <c r="I133" s="264">
        <v>86</v>
      </c>
      <c r="J133" s="262"/>
      <c r="K133" s="265"/>
      <c r="L133" s="265"/>
    </row>
    <row r="134" spans="1:12" s="149" customFormat="1" x14ac:dyDescent="0.25">
      <c r="A134" s="260" t="s">
        <v>64</v>
      </c>
      <c r="B134" s="261" t="s">
        <v>191</v>
      </c>
      <c r="C134" s="262" t="s">
        <v>915</v>
      </c>
      <c r="D134" s="263"/>
      <c r="E134" s="264"/>
      <c r="F134" s="583"/>
      <c r="G134" s="264"/>
      <c r="H134" s="263">
        <v>111.43</v>
      </c>
      <c r="I134" s="264">
        <v>154</v>
      </c>
      <c r="J134" s="262"/>
      <c r="K134" s="265"/>
      <c r="L134" s="265"/>
    </row>
    <row r="135" spans="1:12" s="149" customFormat="1" x14ac:dyDescent="0.25">
      <c r="A135" s="260" t="s">
        <v>130</v>
      </c>
      <c r="B135" s="261" t="s">
        <v>131</v>
      </c>
      <c r="C135" s="262" t="s">
        <v>920</v>
      </c>
      <c r="D135" s="263"/>
      <c r="E135" s="264"/>
      <c r="F135" s="583"/>
      <c r="G135" s="264"/>
      <c r="H135" s="263">
        <v>2462.33</v>
      </c>
      <c r="I135" s="264">
        <v>3253</v>
      </c>
      <c r="J135" s="262"/>
      <c r="K135" s="265"/>
      <c r="L135" s="265"/>
    </row>
    <row r="136" spans="1:12" s="149" customFormat="1" x14ac:dyDescent="0.25">
      <c r="A136" s="260" t="s">
        <v>134</v>
      </c>
      <c r="B136" s="261" t="s">
        <v>133</v>
      </c>
      <c r="C136" s="262" t="s">
        <v>920</v>
      </c>
      <c r="D136" s="263"/>
      <c r="E136" s="264"/>
      <c r="F136" s="583"/>
      <c r="G136" s="264"/>
      <c r="H136" s="263">
        <v>44.87</v>
      </c>
      <c r="I136" s="264">
        <v>41</v>
      </c>
      <c r="J136" s="262"/>
      <c r="K136" s="265"/>
      <c r="L136" s="265"/>
    </row>
    <row r="137" spans="1:12" s="149" customFormat="1" x14ac:dyDescent="0.25">
      <c r="A137" s="260" t="s">
        <v>543</v>
      </c>
      <c r="B137" s="261" t="s">
        <v>135</v>
      </c>
      <c r="C137" s="262" t="s">
        <v>920</v>
      </c>
      <c r="D137" s="263"/>
      <c r="E137" s="264"/>
      <c r="F137" s="583"/>
      <c r="G137" s="264"/>
      <c r="H137" s="263">
        <v>1428.05</v>
      </c>
      <c r="I137" s="264">
        <v>1901</v>
      </c>
      <c r="J137" s="262"/>
      <c r="K137" s="265"/>
      <c r="L137" s="265"/>
    </row>
    <row r="138" spans="1:12" s="149" customFormat="1" x14ac:dyDescent="0.25">
      <c r="A138" s="260" t="s">
        <v>137</v>
      </c>
      <c r="B138" s="261" t="s">
        <v>138</v>
      </c>
      <c r="C138" s="262" t="s">
        <v>920</v>
      </c>
      <c r="D138" s="263"/>
      <c r="E138" s="264"/>
      <c r="F138" s="58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140</v>
      </c>
      <c r="B139" s="261" t="s">
        <v>141</v>
      </c>
      <c r="C139" s="266" t="s">
        <v>920</v>
      </c>
      <c r="D139" s="263"/>
      <c r="E139" s="264"/>
      <c r="F139" s="583"/>
      <c r="G139" s="264"/>
      <c r="H139" s="263">
        <v>33.659999999999997</v>
      </c>
      <c r="I139" s="264">
        <v>0</v>
      </c>
      <c r="J139" s="262"/>
      <c r="K139" s="265"/>
      <c r="L139" s="265"/>
    </row>
    <row r="140" spans="1:12" s="149" customFormat="1" x14ac:dyDescent="0.25">
      <c r="A140" s="260" t="s">
        <v>142</v>
      </c>
      <c r="B140" s="261" t="s">
        <v>143</v>
      </c>
      <c r="C140" s="262" t="s">
        <v>920</v>
      </c>
      <c r="D140" s="263"/>
      <c r="E140" s="264"/>
      <c r="F140" s="583"/>
      <c r="G140" s="264"/>
      <c r="H140" s="263">
        <v>49.68</v>
      </c>
      <c r="I140" s="264">
        <v>50</v>
      </c>
      <c r="J140" s="262"/>
      <c r="K140" s="265"/>
      <c r="L140" s="265"/>
    </row>
    <row r="141" spans="1:12" s="149" customFormat="1" x14ac:dyDescent="0.25">
      <c r="A141" s="260" t="s">
        <v>587</v>
      </c>
      <c r="B141" s="261" t="s">
        <v>145</v>
      </c>
      <c r="C141" s="262" t="s">
        <v>920</v>
      </c>
      <c r="D141" s="263"/>
      <c r="E141" s="264"/>
      <c r="F141" s="583"/>
      <c r="G141" s="264"/>
      <c r="H141" s="263">
        <v>314.20999999999998</v>
      </c>
      <c r="I141" s="264">
        <v>445</v>
      </c>
      <c r="J141" s="262"/>
      <c r="K141" s="265"/>
      <c r="L141" s="265"/>
    </row>
    <row r="142" spans="1:12" s="149" customFormat="1" x14ac:dyDescent="0.25">
      <c r="A142" s="260" t="s">
        <v>588</v>
      </c>
      <c r="B142" s="261" t="s">
        <v>147</v>
      </c>
      <c r="C142" s="262" t="s">
        <v>920</v>
      </c>
      <c r="D142" s="263"/>
      <c r="E142" s="264"/>
      <c r="F142" s="583"/>
      <c r="G142" s="264"/>
      <c r="H142" s="263">
        <v>265.64</v>
      </c>
      <c r="I142" s="264">
        <v>380</v>
      </c>
      <c r="J142" s="262"/>
      <c r="K142" s="265"/>
      <c r="L142" s="265"/>
    </row>
    <row r="143" spans="1:12" s="149" customFormat="1" x14ac:dyDescent="0.25">
      <c r="A143" s="260" t="s">
        <v>176</v>
      </c>
      <c r="B143" s="261" t="s">
        <v>165</v>
      </c>
      <c r="C143" s="262"/>
      <c r="D143" s="263"/>
      <c r="E143" s="264"/>
      <c r="F143" s="583"/>
      <c r="G143" s="264"/>
      <c r="H143" s="263">
        <v>154.26</v>
      </c>
      <c r="I143" s="264">
        <v>220</v>
      </c>
      <c r="J143" s="262"/>
      <c r="K143" s="265"/>
      <c r="L143" s="265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107</v>
      </c>
      <c r="B145" s="261">
        <v>67</v>
      </c>
      <c r="C145" s="262" t="s">
        <v>919</v>
      </c>
      <c r="D145" s="263"/>
      <c r="E145" s="264"/>
      <c r="F145" s="583"/>
      <c r="G145" s="264"/>
      <c r="H145" s="263">
        <v>47.5</v>
      </c>
      <c r="I145" s="264">
        <v>100</v>
      </c>
      <c r="J145" s="262"/>
      <c r="K145" s="265"/>
      <c r="L145" s="265"/>
    </row>
    <row r="146" spans="1:12" s="149" customFormat="1" x14ac:dyDescent="0.25">
      <c r="A146" s="260" t="s">
        <v>109</v>
      </c>
      <c r="B146" s="261">
        <v>95</v>
      </c>
      <c r="C146" s="262" t="s">
        <v>919</v>
      </c>
      <c r="D146" s="263"/>
      <c r="E146" s="264"/>
      <c r="F146" s="583"/>
      <c r="G146" s="264"/>
      <c r="H146" s="263">
        <v>169.4</v>
      </c>
      <c r="I146" s="264">
        <v>9100</v>
      </c>
      <c r="J146" s="262"/>
      <c r="K146" s="265"/>
      <c r="L146" s="265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156</v>
      </c>
      <c r="B148" s="291">
        <v>61</v>
      </c>
      <c r="C148" s="266">
        <v>42863</v>
      </c>
      <c r="D148" s="263"/>
      <c r="E148" s="264"/>
      <c r="F148" s="583"/>
      <c r="G148" s="264"/>
      <c r="H148" s="263">
        <v>35.18</v>
      </c>
      <c r="I148" s="264">
        <v>190</v>
      </c>
      <c r="J148" s="262"/>
      <c r="K148" s="265"/>
      <c r="L148" s="265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543"/>
      <c r="G149" s="251"/>
      <c r="H149" s="250"/>
      <c r="I149" s="251"/>
      <c r="J149" s="249"/>
      <c r="K149" s="253"/>
      <c r="L149" s="253"/>
    </row>
    <row r="150" spans="1:12" s="149" customFormat="1" ht="26.25" x14ac:dyDescent="0.25">
      <c r="A150" s="260" t="s">
        <v>40</v>
      </c>
      <c r="B150" s="261">
        <v>95</v>
      </c>
      <c r="C150" s="266"/>
      <c r="D150" s="263"/>
      <c r="E150" s="264"/>
      <c r="F150" s="583"/>
      <c r="G150" s="264"/>
      <c r="H150" s="263">
        <v>16</v>
      </c>
      <c r="I150" s="264">
        <v>400</v>
      </c>
      <c r="J150" s="262"/>
      <c r="K150" s="265"/>
      <c r="L150" s="265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543"/>
      <c r="G151" s="251"/>
      <c r="H151" s="250"/>
      <c r="I151" s="251"/>
      <c r="J151" s="249"/>
      <c r="K151" s="253"/>
      <c r="L151" s="253"/>
    </row>
    <row r="152" spans="1:12" s="149" customFormat="1" x14ac:dyDescent="0.25">
      <c r="A152" s="260" t="s">
        <v>355</v>
      </c>
      <c r="B152" s="261" t="s">
        <v>356</v>
      </c>
      <c r="C152" s="266" t="s">
        <v>921</v>
      </c>
      <c r="D152" s="263"/>
      <c r="E152" s="264"/>
      <c r="F152" s="583"/>
      <c r="G152" s="264"/>
      <c r="H152" s="263">
        <v>53.57</v>
      </c>
      <c r="I152" s="264">
        <v>93140</v>
      </c>
      <c r="J152" s="262"/>
      <c r="K152" s="265"/>
      <c r="L152" s="265"/>
    </row>
    <row r="153" spans="1:12" s="184" customFormat="1" ht="46.5" customHeight="1" x14ac:dyDescent="0.25">
      <c r="A153" s="559"/>
      <c r="B153" s="559"/>
      <c r="C153" s="559"/>
      <c r="D153" s="560"/>
      <c r="E153" s="561"/>
      <c r="F153" s="562"/>
      <c r="G153" s="561"/>
      <c r="H153" s="560"/>
      <c r="I153" s="561"/>
      <c r="J153" s="560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544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544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544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544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544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544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544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544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544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544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544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544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544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544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544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544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544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544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544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544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544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544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544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544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544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544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544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544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544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544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544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544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544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544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544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544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544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544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544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544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544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544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544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544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544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544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544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544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544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544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544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544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544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544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544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544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544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544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544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544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544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544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544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544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544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544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544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544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544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544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544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544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544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544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544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544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544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544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544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544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544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544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544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544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544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544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544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544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544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544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544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544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544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544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544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544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544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544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544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544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544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544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544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544"/>
      <c r="G257" s="270"/>
      <c r="H257" s="245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45"/>
      <c r="E258" s="270"/>
      <c r="F258" s="544"/>
      <c r="G258" s="270"/>
      <c r="H258" s="245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45"/>
      <c r="E259" s="270"/>
      <c r="F259" s="544"/>
      <c r="G259" s="270"/>
      <c r="H259" s="245"/>
      <c r="I259" s="270"/>
      <c r="J259" s="245"/>
      <c r="K259" s="246"/>
      <c r="L259" s="246"/>
    </row>
    <row r="260" spans="1:12" s="184" customFormat="1" x14ac:dyDescent="0.25">
      <c r="A260" s="245"/>
      <c r="B260" s="245"/>
      <c r="C260" s="245"/>
      <c r="D260" s="245"/>
      <c r="E260" s="270"/>
      <c r="F260" s="544"/>
      <c r="G260" s="270"/>
      <c r="H260" s="245"/>
      <c r="I260" s="270"/>
      <c r="J260" s="245"/>
      <c r="K260" s="246"/>
      <c r="L260" s="246"/>
    </row>
    <row r="261" spans="1:12" s="184" customFormat="1" x14ac:dyDescent="0.25">
      <c r="A261" s="245"/>
      <c r="B261" s="245"/>
      <c r="C261" s="245"/>
      <c r="D261" s="245"/>
      <c r="E261" s="270"/>
      <c r="F261" s="544"/>
      <c r="G261" s="270"/>
      <c r="H261" s="245"/>
      <c r="I261" s="270"/>
      <c r="J261" s="245"/>
      <c r="K261" s="246"/>
      <c r="L261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G20"/>
  <sheetViews>
    <sheetView workbookViewId="0">
      <selection activeCell="D18" sqref="D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917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87"/>
      <c r="B4" s="588"/>
      <c r="C4" s="588"/>
      <c r="D4" s="588"/>
      <c r="E4" s="588"/>
      <c r="F4" s="588"/>
      <c r="G4" s="58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216978</v>
      </c>
      <c r="D13" s="34"/>
      <c r="E13" s="35" t="s">
        <v>33</v>
      </c>
      <c r="F13" s="34"/>
      <c r="G13" s="42">
        <v>19457.7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2431</v>
      </c>
      <c r="D15" s="34"/>
      <c r="E15" s="35" t="s">
        <v>10</v>
      </c>
      <c r="F15" s="34"/>
      <c r="G15" s="42">
        <v>2069.14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7222</v>
      </c>
      <c r="D17" s="34"/>
      <c r="E17" s="35" t="s">
        <v>278</v>
      </c>
      <c r="F17" s="34"/>
      <c r="G17" s="42">
        <v>5556.75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28" activePane="bottomLeft" state="frozen"/>
      <selection pane="bottomLeft" activeCell="H150" sqref="H15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2135</v>
      </c>
      <c r="D3" s="328"/>
      <c r="E3" s="763"/>
      <c r="F3" s="620">
        <v>1465.15</v>
      </c>
      <c r="G3" s="763">
        <v>1760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2137</v>
      </c>
      <c r="D4" s="269"/>
      <c r="E4" s="757"/>
      <c r="F4" s="544">
        <v>297.14999999999998</v>
      </c>
      <c r="G4" s="757">
        <v>292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2133</v>
      </c>
      <c r="D5" s="328"/>
      <c r="E5" s="763"/>
      <c r="F5" s="620">
        <v>256.57</v>
      </c>
      <c r="G5" s="763">
        <v>235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2139</v>
      </c>
      <c r="D6" s="269"/>
      <c r="E6" s="757"/>
      <c r="F6" s="544">
        <v>285.19</v>
      </c>
      <c r="G6" s="757">
        <v>279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2134</v>
      </c>
      <c r="D7" s="269"/>
      <c r="E7" s="757"/>
      <c r="F7" s="544">
        <v>147.21</v>
      </c>
      <c r="G7" s="757">
        <v>90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2138</v>
      </c>
      <c r="D8" s="269"/>
      <c r="E8" s="757"/>
      <c r="F8" s="544">
        <v>435.52</v>
      </c>
      <c r="G8" s="757">
        <v>470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2138</v>
      </c>
      <c r="D9" s="269"/>
      <c r="E9" s="757"/>
      <c r="F9" s="544">
        <v>921.35</v>
      </c>
      <c r="G9" s="757">
        <v>384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2138</v>
      </c>
      <c r="D10" s="269"/>
      <c r="E10" s="757"/>
      <c r="F10" s="544">
        <v>77.88</v>
      </c>
      <c r="G10" s="757">
        <v>5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2140</v>
      </c>
      <c r="D11" s="269"/>
      <c r="E11" s="757"/>
      <c r="F11" s="544">
        <v>117.17</v>
      </c>
      <c r="G11" s="757">
        <v>47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2137</v>
      </c>
      <c r="D12" s="269"/>
      <c r="E12" s="757"/>
      <c r="F12" s="544">
        <v>86.07</v>
      </c>
      <c r="G12" s="757">
        <v>23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2137</v>
      </c>
      <c r="D13" s="269"/>
      <c r="E13" s="757"/>
      <c r="F13" s="544">
        <v>942.17</v>
      </c>
      <c r="G13" s="757">
        <v>1114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2139</v>
      </c>
      <c r="D14" s="269"/>
      <c r="E14" s="757"/>
      <c r="F14" s="544">
        <v>127.19</v>
      </c>
      <c r="G14" s="757">
        <v>76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2137</v>
      </c>
      <c r="D15" s="269"/>
      <c r="E15" s="757"/>
      <c r="F15" s="544">
        <v>454.09</v>
      </c>
      <c r="G15" s="757">
        <v>492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2142</v>
      </c>
      <c r="D16" s="269"/>
      <c r="E16" s="757"/>
      <c r="F16" s="544">
        <v>111.04</v>
      </c>
      <c r="G16" s="757">
        <v>85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2142</v>
      </c>
      <c r="D17" s="269"/>
      <c r="E17" s="757"/>
      <c r="F17" s="544">
        <v>77.33</v>
      </c>
      <c r="G17" s="757">
        <v>13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211.23</v>
      </c>
      <c r="E19" s="546">
        <f>1879-11</f>
        <v>1868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21.88</v>
      </c>
      <c r="E21" s="546">
        <v>192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65.23</v>
      </c>
      <c r="E23" s="546">
        <v>783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461.24</v>
      </c>
      <c r="E24" s="546">
        <f>5040+22</f>
        <v>5062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101.88</v>
      </c>
      <c r="E26" s="546">
        <v>1283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15.95</v>
      </c>
      <c r="E28" s="546">
        <v>105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209.92</v>
      </c>
      <c r="E29" s="546">
        <f>1474+12</f>
        <v>1486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599.76</v>
      </c>
      <c r="E30" s="546">
        <f>7720+28</f>
        <v>7748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305.54000000000002</v>
      </c>
      <c r="E33" s="546">
        <f>2913+15</f>
        <v>2928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10.16</v>
      </c>
      <c r="E35" s="546">
        <v>23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17.940000000000001</v>
      </c>
      <c r="E36" s="546">
        <v>132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3148.75</v>
      </c>
      <c r="E37" s="546">
        <f>49600+117</f>
        <v>49717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63.61</v>
      </c>
      <c r="E38" s="546">
        <v>754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403.08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21.23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16.309999999999999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20.66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972.12</v>
      </c>
      <c r="E43" s="546">
        <f>10440+50</f>
        <v>10490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16.34</v>
      </c>
      <c r="E45" s="546">
        <v>108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90.63</v>
      </c>
      <c r="E48" s="546">
        <v>1130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256.77999999999997</v>
      </c>
      <c r="E49" s="546">
        <f>1771+16</f>
        <v>1787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10.039999999999999</v>
      </c>
      <c r="E50" s="546">
        <v>24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313.33999999999997</v>
      </c>
      <c r="E51" s="546">
        <f>3191+15</f>
        <v>3206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94.36</v>
      </c>
      <c r="E52" s="546">
        <v>1237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132.56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895.7</v>
      </c>
      <c r="E54" s="546">
        <f>11400+39</f>
        <v>11439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41.06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1224.81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290.70999999999998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205.83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816.01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150.66</v>
      </c>
      <c r="E64" s="546">
        <f>1499+3</f>
        <v>1502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623.89</v>
      </c>
      <c r="E65" s="546">
        <f>9208+15</f>
        <v>9223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210.71</v>
      </c>
      <c r="E66" s="546">
        <f>240+15</f>
        <v>255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249.63</v>
      </c>
      <c r="E67" s="546">
        <f>2422+13</f>
        <v>2435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2141</v>
      </c>
      <c r="D69" s="269">
        <v>288</v>
      </c>
      <c r="E69" s="757">
        <v>2159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167</v>
      </c>
      <c r="E70" s="757">
        <v>933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112</v>
      </c>
      <c r="E71" s="757">
        <v>449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55</v>
      </c>
      <c r="E72" s="757">
        <v>127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302</v>
      </c>
      <c r="E74" s="757">
        <v>2103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299</v>
      </c>
      <c r="E75" s="757">
        <v>2311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69</v>
      </c>
      <c r="E76" s="757">
        <v>248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99</v>
      </c>
      <c r="E77" s="757">
        <v>339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96</v>
      </c>
      <c r="E79" s="757">
        <v>481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87</v>
      </c>
      <c r="E80" s="757">
        <v>233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1791</v>
      </c>
      <c r="E81" s="757">
        <v>11400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103</v>
      </c>
      <c r="E82" s="757">
        <v>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2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395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622</v>
      </c>
      <c r="E86" s="757">
        <v>4680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315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220</v>
      </c>
      <c r="E88" s="757">
        <v>848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121</v>
      </c>
      <c r="E90" s="757">
        <v>328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97</v>
      </c>
      <c r="E91" s="757">
        <v>497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223.51</v>
      </c>
      <c r="E92" s="757">
        <v>1426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2298</v>
      </c>
      <c r="E93" s="757">
        <v>21240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192</v>
      </c>
      <c r="E94" s="757">
        <v>1150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2141</v>
      </c>
      <c r="D96" s="269"/>
      <c r="E96" s="757"/>
      <c r="F96" s="544"/>
      <c r="G96" s="757"/>
      <c r="H96" s="269">
        <v>74.010000000000005</v>
      </c>
      <c r="I96" s="757">
        <v>85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259.26</v>
      </c>
      <c r="I97" s="757">
        <v>363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50.51</v>
      </c>
      <c r="I99" s="757">
        <v>41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39.299999999999997</v>
      </c>
      <c r="I100" s="757">
        <v>20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45.17</v>
      </c>
      <c r="I101" s="757">
        <v>31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49.98</v>
      </c>
      <c r="I102" s="757">
        <v>40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44.64</v>
      </c>
      <c r="I104" s="757">
        <v>30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42.5</v>
      </c>
      <c r="I108" s="757">
        <v>26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40.369999999999997</v>
      </c>
      <c r="I109" s="757">
        <v>22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45.71</v>
      </c>
      <c r="I110" s="757">
        <v>32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185.03</v>
      </c>
      <c r="I116" s="757">
        <v>258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9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78.28</v>
      </c>
      <c r="I122" s="757">
        <v>93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72.95</v>
      </c>
      <c r="I123" s="757">
        <v>41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47.31</v>
      </c>
      <c r="I124" s="757">
        <v>35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2130</v>
      </c>
      <c r="D127" s="269"/>
      <c r="E127" s="757"/>
      <c r="F127" s="544"/>
      <c r="G127" s="757"/>
      <c r="H127" s="269">
        <v>51.05</v>
      </c>
      <c r="I127" s="757">
        <v>42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2141</v>
      </c>
      <c r="D128" s="269"/>
      <c r="E128" s="757"/>
      <c r="F128" s="544"/>
      <c r="G128" s="757"/>
      <c r="H128" s="269">
        <v>199.87</v>
      </c>
      <c r="I128" s="757">
        <v>279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2130</v>
      </c>
      <c r="D129" s="269"/>
      <c r="E129" s="757"/>
      <c r="F129" s="544"/>
      <c r="G129" s="757"/>
      <c r="H129" s="269">
        <v>41.97</v>
      </c>
      <c r="I129" s="757">
        <v>25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2130</v>
      </c>
      <c r="D130" s="269"/>
      <c r="E130" s="757"/>
      <c r="F130" s="544"/>
      <c r="G130" s="757"/>
      <c r="H130" s="269">
        <v>39.299999999999997</v>
      </c>
      <c r="I130" s="757">
        <v>10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2130</v>
      </c>
      <c r="D131" s="269"/>
      <c r="E131" s="757"/>
      <c r="F131" s="544"/>
      <c r="G131" s="757"/>
      <c r="H131" s="269">
        <v>1960.01</v>
      </c>
      <c r="I131" s="757">
        <v>2589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2130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2130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2130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2130</v>
      </c>
      <c r="D135" s="269"/>
      <c r="E135" s="757"/>
      <c r="F135" s="544"/>
      <c r="G135" s="757"/>
      <c r="H135" s="269">
        <v>319.08</v>
      </c>
      <c r="I135" s="757">
        <v>444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2130</v>
      </c>
      <c r="D136" s="269"/>
      <c r="E136" s="757"/>
      <c r="F136" s="544"/>
      <c r="G136" s="757"/>
      <c r="H136" s="269">
        <v>229.57</v>
      </c>
      <c r="I136" s="757">
        <v>321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2130</v>
      </c>
      <c r="D137" s="269"/>
      <c r="E137" s="757"/>
      <c r="F137" s="544"/>
      <c r="G137" s="757"/>
      <c r="H137" s="269">
        <v>313.73</v>
      </c>
      <c r="I137" s="757">
        <v>437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2143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261"/>
  <sheetViews>
    <sheetView zoomScaleNormal="100" workbookViewId="0">
      <pane ySplit="2" topLeftCell="A66" activePane="bottomLeft" state="frozen"/>
      <selection pane="bottomLeft" activeCell="K52" sqref="K52"/>
    </sheetView>
  </sheetViews>
  <sheetFormatPr defaultRowHeight="15" x14ac:dyDescent="0.25"/>
  <cols>
    <col min="1" max="1" width="41.57031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9.85546875" style="575" customWidth="1"/>
    <col min="7" max="7" width="10.140625" style="294" customWidth="1"/>
    <col min="8" max="8" width="10.5703125" style="575" bestFit="1" customWidth="1"/>
    <col min="9" max="9" width="11.5703125" style="294" bestFit="1" customWidth="1"/>
    <col min="10" max="10" width="7.85546875" style="293" customWidth="1"/>
    <col min="11" max="11" width="19.5703125" style="296" customWidth="1"/>
    <col min="12" max="12" width="15.5703125" style="296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5"/>
      <c r="L1" s="245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49"/>
      <c r="L2" s="249"/>
    </row>
    <row r="3" spans="1:12" s="148" customFormat="1" x14ac:dyDescent="0.25">
      <c r="A3" s="254" t="s">
        <v>339</v>
      </c>
      <c r="B3" s="255">
        <v>3038136345</v>
      </c>
      <c r="C3" s="256" t="s">
        <v>889</v>
      </c>
      <c r="D3" s="257"/>
      <c r="E3" s="258"/>
      <c r="F3" s="257">
        <v>819.37</v>
      </c>
      <c r="G3" s="258">
        <v>1351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890</v>
      </c>
      <c r="D4" s="263"/>
      <c r="E4" s="264"/>
      <c r="F4" s="263">
        <v>88.67</v>
      </c>
      <c r="G4" s="264">
        <v>77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913</v>
      </c>
      <c r="D5" s="257"/>
      <c r="E5" s="258"/>
      <c r="F5" s="257">
        <v>62.25</v>
      </c>
      <c r="G5" s="258">
        <v>29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891</v>
      </c>
      <c r="D6" s="263"/>
      <c r="E6" s="264"/>
      <c r="F6" s="263">
        <v>155.59</v>
      </c>
      <c r="G6" s="264">
        <v>194</v>
      </c>
      <c r="H6" s="263"/>
      <c r="I6" s="264"/>
      <c r="J6" s="262" t="s">
        <v>10</v>
      </c>
      <c r="K6" s="262"/>
      <c r="L6" s="262"/>
    </row>
    <row r="7" spans="1:12" s="149" customFormat="1" x14ac:dyDescent="0.25">
      <c r="A7" s="260" t="s">
        <v>41</v>
      </c>
      <c r="B7" s="261">
        <v>3044004323</v>
      </c>
      <c r="C7" s="262" t="s">
        <v>890</v>
      </c>
      <c r="D7" s="263"/>
      <c r="E7" s="264"/>
      <c r="F7" s="263">
        <v>70.44</v>
      </c>
      <c r="G7" s="264">
        <v>34</v>
      </c>
      <c r="H7" s="263"/>
      <c r="I7" s="264"/>
      <c r="J7" s="262" t="s">
        <v>10</v>
      </c>
      <c r="K7" s="262"/>
      <c r="L7" s="262"/>
    </row>
    <row r="8" spans="1:12" s="149" customFormat="1" ht="26.25" x14ac:dyDescent="0.25">
      <c r="A8" s="260" t="s">
        <v>42</v>
      </c>
      <c r="B8" s="261">
        <v>3029257704</v>
      </c>
      <c r="C8" s="262" t="s">
        <v>890</v>
      </c>
      <c r="D8" s="263"/>
      <c r="E8" s="264"/>
      <c r="F8" s="263">
        <v>57.09</v>
      </c>
      <c r="G8" s="264">
        <v>8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890</v>
      </c>
      <c r="D9" s="263"/>
      <c r="E9" s="264"/>
      <c r="F9" s="263">
        <v>104.75</v>
      </c>
      <c r="G9" s="264">
        <v>105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890</v>
      </c>
      <c r="D10" s="263"/>
      <c r="E10" s="264"/>
      <c r="F10" s="263">
        <v>92.68</v>
      </c>
      <c r="G10" s="264">
        <v>84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888</v>
      </c>
      <c r="D11" s="263"/>
      <c r="E11" s="264"/>
      <c r="F11" s="263">
        <v>54.03</v>
      </c>
      <c r="G11" s="264">
        <v>2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890</v>
      </c>
      <c r="D12" s="263"/>
      <c r="E12" s="264"/>
      <c r="F12" s="263">
        <v>44.43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635</v>
      </c>
      <c r="D13" s="263"/>
      <c r="E13" s="264"/>
      <c r="F13" s="263">
        <v>190.91</v>
      </c>
      <c r="G13" s="264">
        <v>255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891</v>
      </c>
      <c r="D14" s="263"/>
      <c r="E14" s="264"/>
      <c r="F14" s="263">
        <v>59.9</v>
      </c>
      <c r="G14" s="264">
        <v>27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890</v>
      </c>
      <c r="D15" s="263"/>
      <c r="E15" s="264"/>
      <c r="F15" s="263">
        <v>177.14</v>
      </c>
      <c r="G15" s="264">
        <v>231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897</v>
      </c>
      <c r="D16" s="263"/>
      <c r="E16" s="264"/>
      <c r="F16" s="263">
        <v>42.53</v>
      </c>
      <c r="G16" s="264">
        <v>27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897</v>
      </c>
      <c r="D17" s="263"/>
      <c r="E17" s="264"/>
      <c r="F17" s="263">
        <v>49.36</v>
      </c>
      <c r="G17" s="264">
        <v>7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5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274580</v>
      </c>
      <c r="C19" s="563" t="s">
        <v>902</v>
      </c>
      <c r="D19" s="572">
        <v>26.35</v>
      </c>
      <c r="E19" s="564">
        <v>80</v>
      </c>
      <c r="F19" s="572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117936</v>
      </c>
      <c r="C20" s="563" t="s">
        <v>902</v>
      </c>
      <c r="D20" s="572">
        <v>139.15</v>
      </c>
      <c r="E20" s="564">
        <v>480</v>
      </c>
      <c r="F20" s="572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8184322</v>
      </c>
      <c r="C21" s="563" t="s">
        <v>902</v>
      </c>
      <c r="D21" s="572">
        <v>617.5</v>
      </c>
      <c r="E21" s="564">
        <v>3840</v>
      </c>
      <c r="F21" s="572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8234139</v>
      </c>
      <c r="C22" s="563" t="s">
        <v>903</v>
      </c>
      <c r="D22" s="572">
        <v>63.85</v>
      </c>
      <c r="E22" s="564">
        <v>866</v>
      </c>
      <c r="F22" s="572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5262911</v>
      </c>
      <c r="C23" s="563" t="s">
        <v>902</v>
      </c>
      <c r="D23" s="572">
        <v>15.1</v>
      </c>
      <c r="E23" s="564">
        <v>70</v>
      </c>
      <c r="F23" s="572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9261200</v>
      </c>
      <c r="C24" s="563" t="s">
        <v>904</v>
      </c>
      <c r="D24" s="572">
        <v>50.29</v>
      </c>
      <c r="E24" s="564">
        <v>644</v>
      </c>
      <c r="F24" s="572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563" t="s">
        <v>896</v>
      </c>
      <c r="B25" s="563">
        <v>8463322</v>
      </c>
      <c r="C25" s="563" t="s">
        <v>904</v>
      </c>
      <c r="D25" s="572">
        <v>3629.01</v>
      </c>
      <c r="E25" s="564">
        <v>73100</v>
      </c>
      <c r="F25" s="572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5027654</v>
      </c>
      <c r="C26" s="563" t="s">
        <v>902</v>
      </c>
      <c r="D26" s="572">
        <v>228.56</v>
      </c>
      <c r="E26" s="564">
        <v>2131</v>
      </c>
      <c r="F26" s="572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5089282</v>
      </c>
      <c r="C27" s="563" t="s">
        <v>904</v>
      </c>
      <c r="D27" s="572">
        <v>51.22</v>
      </c>
      <c r="E27" s="564">
        <v>300</v>
      </c>
      <c r="F27" s="572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9498071</v>
      </c>
      <c r="C28" s="563" t="s">
        <v>905</v>
      </c>
      <c r="D28" s="572">
        <v>270</v>
      </c>
      <c r="E28" s="564">
        <v>1840</v>
      </c>
      <c r="F28" s="572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5028615</v>
      </c>
      <c r="C29" s="563" t="s">
        <v>902</v>
      </c>
      <c r="D29" s="572">
        <v>551.57000000000005</v>
      </c>
      <c r="E29" s="564">
        <v>5600</v>
      </c>
      <c r="F29" s="572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7480591</v>
      </c>
      <c r="C30" s="563" t="s">
        <v>905</v>
      </c>
      <c r="D30" s="572">
        <v>691.29</v>
      </c>
      <c r="E30" s="564">
        <v>11737</v>
      </c>
      <c r="F30" s="572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5031405</v>
      </c>
      <c r="C31" s="563" t="s">
        <v>902</v>
      </c>
      <c r="D31" s="572">
        <v>942.39</v>
      </c>
      <c r="E31" s="564">
        <v>11880</v>
      </c>
      <c r="F31" s="572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8934894</v>
      </c>
      <c r="C32" s="563" t="s">
        <v>902</v>
      </c>
      <c r="D32" s="572">
        <v>14.81</v>
      </c>
      <c r="E32" s="564">
        <v>9</v>
      </c>
      <c r="F32" s="572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.75" x14ac:dyDescent="0.25">
      <c r="A33" s="563" t="s">
        <v>858</v>
      </c>
      <c r="B33" s="563">
        <v>5231911</v>
      </c>
      <c r="C33" s="563" t="s">
        <v>902</v>
      </c>
      <c r="D33" s="572">
        <v>20.8</v>
      </c>
      <c r="E33" s="564">
        <v>150</v>
      </c>
      <c r="F33" s="572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5276024</v>
      </c>
      <c r="C34" s="563" t="s">
        <v>906</v>
      </c>
      <c r="D34" s="572">
        <v>20.73</v>
      </c>
      <c r="E34" s="564">
        <v>150</v>
      </c>
      <c r="F34" s="572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5036644</v>
      </c>
      <c r="C35" s="563" t="s">
        <v>907</v>
      </c>
      <c r="D35" s="572">
        <v>148.94999999999999</v>
      </c>
      <c r="E35" s="564">
        <v>125</v>
      </c>
      <c r="F35" s="572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5037326</v>
      </c>
      <c r="C36" s="563" t="s">
        <v>907</v>
      </c>
      <c r="D36" s="572">
        <v>24.24</v>
      </c>
      <c r="E36" s="564">
        <v>171</v>
      </c>
      <c r="F36" s="572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5105092</v>
      </c>
      <c r="C37" s="563" t="s">
        <v>904</v>
      </c>
      <c r="D37" s="572">
        <v>282.93</v>
      </c>
      <c r="E37" s="564">
        <v>3689</v>
      </c>
      <c r="F37" s="572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8327232</v>
      </c>
      <c r="C38" s="563" t="s">
        <v>905</v>
      </c>
      <c r="D38" s="572">
        <v>37.92</v>
      </c>
      <c r="E38" s="564">
        <v>0</v>
      </c>
      <c r="F38" s="572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4964784</v>
      </c>
      <c r="C39" s="563" t="s">
        <v>907</v>
      </c>
      <c r="D39" s="572">
        <v>21.52</v>
      </c>
      <c r="E39" s="564">
        <v>150</v>
      </c>
      <c r="F39" s="572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906</v>
      </c>
      <c r="D40" s="572">
        <v>89.74</v>
      </c>
      <c r="E40" s="564">
        <v>1302</v>
      </c>
      <c r="F40" s="572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5074495</v>
      </c>
      <c r="C41" s="563" t="s">
        <v>905</v>
      </c>
      <c r="D41" s="572">
        <v>34.6</v>
      </c>
      <c r="E41" s="564">
        <v>33</v>
      </c>
      <c r="F41" s="572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5265019</v>
      </c>
      <c r="C42" s="563" t="s">
        <v>902</v>
      </c>
      <c r="D42" s="572">
        <v>15.1</v>
      </c>
      <c r="E42" s="564">
        <v>70</v>
      </c>
      <c r="F42" s="572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149091</v>
      </c>
      <c r="C43" s="563" t="s">
        <v>902</v>
      </c>
      <c r="D43" s="572">
        <v>18.12</v>
      </c>
      <c r="E43" s="564">
        <v>80</v>
      </c>
      <c r="F43" s="572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7010755</v>
      </c>
      <c r="C44" s="563" t="s">
        <v>904</v>
      </c>
      <c r="D44" s="572">
        <v>14.29</v>
      </c>
      <c r="E44" s="564">
        <v>0</v>
      </c>
      <c r="F44" s="572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6722734</v>
      </c>
      <c r="C45" s="563" t="s">
        <v>907</v>
      </c>
      <c r="D45" s="572">
        <v>189.18</v>
      </c>
      <c r="E45" s="564">
        <v>937</v>
      </c>
      <c r="F45" s="572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5.75" x14ac:dyDescent="0.25">
      <c r="A46" s="563" t="s">
        <v>832</v>
      </c>
      <c r="B46" s="563">
        <v>4426036</v>
      </c>
      <c r="C46" s="563" t="s">
        <v>902</v>
      </c>
      <c r="D46" s="572">
        <v>314.05</v>
      </c>
      <c r="E46" s="564">
        <v>1950</v>
      </c>
      <c r="F46" s="572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902</v>
      </c>
      <c r="D47" s="572">
        <v>270.20999999999998</v>
      </c>
      <c r="E47" s="564">
        <v>1190</v>
      </c>
      <c r="F47" s="572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835</v>
      </c>
      <c r="B48" s="563">
        <v>4914473</v>
      </c>
      <c r="C48" s="563" t="s">
        <v>902</v>
      </c>
      <c r="D48" s="572">
        <v>1037.5</v>
      </c>
      <c r="E48" s="564">
        <v>12840</v>
      </c>
      <c r="F48" s="572"/>
      <c r="G48" s="564"/>
      <c r="H48" s="572"/>
      <c r="I48" s="564"/>
      <c r="J48" s="563"/>
      <c r="K48" s="563" t="s">
        <v>807</v>
      </c>
      <c r="L48" s="563">
        <v>5216006470</v>
      </c>
    </row>
    <row r="49" spans="1:12" s="565" customFormat="1" ht="15.75" x14ac:dyDescent="0.25">
      <c r="A49" s="563" t="s">
        <v>852</v>
      </c>
      <c r="B49" s="563">
        <v>5020429</v>
      </c>
      <c r="C49" s="563" t="s">
        <v>907</v>
      </c>
      <c r="D49" s="572">
        <v>21.52</v>
      </c>
      <c r="E49" s="564">
        <v>150</v>
      </c>
      <c r="F49" s="572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4962800</v>
      </c>
      <c r="C50" s="563" t="s">
        <v>905</v>
      </c>
      <c r="D50" s="572">
        <v>26.04</v>
      </c>
      <c r="E50" s="564">
        <v>160</v>
      </c>
      <c r="F50" s="572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4892432</v>
      </c>
      <c r="C51" s="563" t="s">
        <v>906</v>
      </c>
      <c r="D51" s="572">
        <v>100.74</v>
      </c>
      <c r="E51" s="564">
        <v>1281</v>
      </c>
      <c r="F51" s="572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5021826</v>
      </c>
      <c r="C52" s="563" t="s">
        <v>907</v>
      </c>
      <c r="D52" s="572">
        <v>67.709999999999994</v>
      </c>
      <c r="E52" s="564">
        <v>918</v>
      </c>
      <c r="F52" s="572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5265050</v>
      </c>
      <c r="C53" s="563" t="s">
        <v>902</v>
      </c>
      <c r="D53" s="572">
        <v>20.8</v>
      </c>
      <c r="E53" s="564">
        <v>150</v>
      </c>
      <c r="F53" s="572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570" customFormat="1" ht="15.75" x14ac:dyDescent="0.25">
      <c r="A54" s="568" t="s">
        <v>846</v>
      </c>
      <c r="B54" s="568">
        <v>5074402</v>
      </c>
      <c r="C54" s="568"/>
      <c r="D54" s="573"/>
      <c r="E54" s="569"/>
      <c r="F54" s="573"/>
      <c r="G54" s="569"/>
      <c r="H54" s="573"/>
      <c r="I54" s="569"/>
      <c r="J54" s="568"/>
      <c r="K54" s="568" t="s">
        <v>813</v>
      </c>
      <c r="L54" s="568">
        <v>5216006476</v>
      </c>
    </row>
    <row r="55" spans="1:12" s="565" customFormat="1" ht="15.75" x14ac:dyDescent="0.25">
      <c r="A55" s="563" t="s">
        <v>845</v>
      </c>
      <c r="B55" s="563">
        <v>710315</v>
      </c>
      <c r="C55" s="563" t="s">
        <v>905</v>
      </c>
      <c r="D55" s="572">
        <v>17.14</v>
      </c>
      <c r="E55" s="564">
        <v>49</v>
      </c>
      <c r="F55" s="572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5145888</v>
      </c>
      <c r="C56" s="563" t="s">
        <v>908</v>
      </c>
      <c r="D56" s="572">
        <v>35.85</v>
      </c>
      <c r="E56" s="564">
        <v>375</v>
      </c>
      <c r="F56" s="572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5264802</v>
      </c>
      <c r="C57" s="563" t="s">
        <v>903</v>
      </c>
      <c r="D57" s="572">
        <v>102.29</v>
      </c>
      <c r="E57" s="564">
        <v>770</v>
      </c>
      <c r="F57" s="572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5064854</v>
      </c>
      <c r="C58" s="563" t="s">
        <v>907</v>
      </c>
      <c r="D58" s="572">
        <v>530.26</v>
      </c>
      <c r="E58" s="564">
        <v>7080</v>
      </c>
      <c r="F58" s="572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4932391</v>
      </c>
      <c r="C59" s="563" t="s">
        <v>905</v>
      </c>
      <c r="D59" s="572">
        <v>195.49</v>
      </c>
      <c r="E59" s="564">
        <v>1952</v>
      </c>
      <c r="F59" s="572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5041139</v>
      </c>
      <c r="C60" s="563" t="s">
        <v>906</v>
      </c>
      <c r="D60" s="572">
        <v>21.42</v>
      </c>
      <c r="E60" s="564">
        <v>123</v>
      </c>
      <c r="F60" s="572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5037202</v>
      </c>
      <c r="C61" s="563" t="s">
        <v>907</v>
      </c>
      <c r="D61" s="572">
        <v>123.13</v>
      </c>
      <c r="E61" s="564">
        <v>1870</v>
      </c>
      <c r="F61" s="572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4914628</v>
      </c>
      <c r="C62" s="563" t="s">
        <v>902</v>
      </c>
      <c r="D62" s="572">
        <v>276.60000000000002</v>
      </c>
      <c r="E62" s="564">
        <v>3121</v>
      </c>
      <c r="F62" s="572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863</v>
      </c>
      <c r="B63" s="563">
        <v>5264554</v>
      </c>
      <c r="C63" s="563" t="s">
        <v>902</v>
      </c>
      <c r="D63" s="572">
        <v>23.91</v>
      </c>
      <c r="E63" s="564">
        <v>140</v>
      </c>
      <c r="F63" s="572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862</v>
      </c>
      <c r="B64" s="563">
        <v>4426005</v>
      </c>
      <c r="C64" s="563" t="s">
        <v>902</v>
      </c>
      <c r="D64" s="572">
        <v>1052.6099999999999</v>
      </c>
      <c r="E64" s="564">
        <v>10350</v>
      </c>
      <c r="F64" s="572"/>
      <c r="G64" s="564"/>
      <c r="H64" s="572"/>
      <c r="I64" s="564"/>
      <c r="J64" s="563"/>
      <c r="K64" s="563" t="s">
        <v>824</v>
      </c>
      <c r="L64" s="563">
        <v>5216006487</v>
      </c>
    </row>
    <row r="65" spans="1:12" s="565" customFormat="1" ht="15.75" x14ac:dyDescent="0.25">
      <c r="A65" s="563" t="s">
        <v>843</v>
      </c>
      <c r="B65" s="563">
        <v>8239130</v>
      </c>
      <c r="C65" s="563" t="s">
        <v>904</v>
      </c>
      <c r="D65" s="572">
        <v>54.92</v>
      </c>
      <c r="E65" s="564">
        <v>702</v>
      </c>
      <c r="F65" s="572"/>
      <c r="G65" s="564"/>
      <c r="H65" s="572"/>
      <c r="I65" s="564"/>
      <c r="J65" s="563"/>
      <c r="K65" s="563" t="s">
        <v>825</v>
      </c>
      <c r="L65" s="563">
        <v>5216006488</v>
      </c>
    </row>
    <row r="66" spans="1:12" s="565" customFormat="1" ht="15.75" x14ac:dyDescent="0.25">
      <c r="A66" s="563" t="s">
        <v>842</v>
      </c>
      <c r="B66" s="563">
        <v>5089344</v>
      </c>
      <c r="C66" s="563" t="s">
        <v>904</v>
      </c>
      <c r="D66" s="572">
        <v>15.39</v>
      </c>
      <c r="E66" s="564">
        <v>19</v>
      </c>
      <c r="F66" s="572"/>
      <c r="G66" s="564"/>
      <c r="H66" s="572"/>
      <c r="I66" s="564"/>
      <c r="J66" s="563"/>
      <c r="K66" s="563" t="s">
        <v>826</v>
      </c>
      <c r="L66" s="563">
        <v>5216006489</v>
      </c>
    </row>
    <row r="67" spans="1:12" s="571" customFormat="1" ht="15.75" x14ac:dyDescent="0.25">
      <c r="A67" s="568" t="s">
        <v>862</v>
      </c>
      <c r="B67" s="568">
        <v>4426005</v>
      </c>
      <c r="C67" s="568"/>
      <c r="D67" s="573"/>
      <c r="E67" s="569"/>
      <c r="F67" s="573"/>
      <c r="G67" s="569"/>
      <c r="H67" s="573"/>
      <c r="I67" s="569"/>
      <c r="J67" s="568"/>
      <c r="K67" s="568" t="s">
        <v>824</v>
      </c>
      <c r="L67" s="568">
        <v>5216006487</v>
      </c>
    </row>
    <row r="68" spans="1:12" s="571" customFormat="1" ht="15.75" x14ac:dyDescent="0.25">
      <c r="A68" s="568" t="s">
        <v>843</v>
      </c>
      <c r="B68" s="568">
        <v>8239130</v>
      </c>
      <c r="C68" s="568"/>
      <c r="D68" s="573"/>
      <c r="E68" s="569"/>
      <c r="F68" s="573"/>
      <c r="G68" s="569"/>
      <c r="H68" s="573"/>
      <c r="I68" s="569"/>
      <c r="J68" s="568"/>
      <c r="K68" s="568" t="s">
        <v>825</v>
      </c>
      <c r="L68" s="568">
        <v>5216006488</v>
      </c>
    </row>
    <row r="69" spans="1:12" s="567" customFormat="1" ht="15.75" x14ac:dyDescent="0.25">
      <c r="A69" s="563" t="s">
        <v>910</v>
      </c>
      <c r="B69" s="563">
        <v>5216007171</v>
      </c>
      <c r="C69" s="563" t="s">
        <v>909</v>
      </c>
      <c r="D69" s="572">
        <v>14.29</v>
      </c>
      <c r="E69" s="564">
        <v>0</v>
      </c>
      <c r="F69" s="572"/>
      <c r="G69" s="564"/>
      <c r="H69" s="572"/>
      <c r="I69" s="564"/>
      <c r="J69" s="563"/>
      <c r="K69" s="563"/>
      <c r="L69" s="563"/>
    </row>
    <row r="70" spans="1:12" s="567" customFormat="1" ht="15.75" x14ac:dyDescent="0.25">
      <c r="A70" s="563" t="s">
        <v>911</v>
      </c>
      <c r="B70" s="563">
        <v>7391</v>
      </c>
      <c r="C70" s="563" t="s">
        <v>909</v>
      </c>
      <c r="D70" s="572">
        <v>17.87</v>
      </c>
      <c r="E70" s="564">
        <v>56</v>
      </c>
      <c r="F70" s="572"/>
      <c r="G70" s="564"/>
      <c r="H70" s="572"/>
      <c r="I70" s="564"/>
      <c r="J70" s="563"/>
      <c r="K70" s="563"/>
      <c r="L70" s="563"/>
    </row>
    <row r="71" spans="1:12" s="571" customFormat="1" ht="15.75" x14ac:dyDescent="0.25">
      <c r="A71" s="568" t="s">
        <v>842</v>
      </c>
      <c r="B71" s="568">
        <v>5089344</v>
      </c>
      <c r="C71" s="568"/>
      <c r="D71" s="573"/>
      <c r="E71" s="569"/>
      <c r="F71" s="573"/>
      <c r="G71" s="569"/>
      <c r="H71" s="573"/>
      <c r="I71" s="569"/>
      <c r="J71" s="568"/>
      <c r="K71" s="568" t="s">
        <v>826</v>
      </c>
      <c r="L71" s="568">
        <v>5216006489</v>
      </c>
    </row>
    <row r="72" spans="1:12" s="199" customFormat="1" ht="26.25" x14ac:dyDescent="0.25">
      <c r="A72" s="280" t="s">
        <v>878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49"/>
      <c r="L72" s="249"/>
    </row>
    <row r="73" spans="1:12" s="149" customFormat="1" ht="26.25" x14ac:dyDescent="0.25">
      <c r="A73" s="260" t="s">
        <v>51</v>
      </c>
      <c r="B73" s="261" t="s">
        <v>208</v>
      </c>
      <c r="C73" s="266" t="s">
        <v>893</v>
      </c>
      <c r="D73" s="263">
        <v>224</v>
      </c>
      <c r="E73" s="264">
        <v>1941</v>
      </c>
      <c r="F73" s="263"/>
      <c r="G73" s="264"/>
      <c r="H73" s="263"/>
      <c r="I73" s="264"/>
      <c r="J73" s="262" t="s">
        <v>33</v>
      </c>
      <c r="K73" s="262"/>
      <c r="L73" s="262"/>
    </row>
    <row r="74" spans="1:12" s="149" customFormat="1" ht="26.25" x14ac:dyDescent="0.25">
      <c r="A74" s="260" t="s">
        <v>52</v>
      </c>
      <c r="B74" s="261" t="s">
        <v>209</v>
      </c>
      <c r="C74" s="266" t="s">
        <v>893</v>
      </c>
      <c r="D74" s="263">
        <v>186</v>
      </c>
      <c r="E74" s="264">
        <v>1356</v>
      </c>
      <c r="F74" s="263"/>
      <c r="G74" s="264"/>
      <c r="H74" s="263"/>
      <c r="I74" s="264"/>
      <c r="J74" s="262" t="s">
        <v>33</v>
      </c>
      <c r="K74" s="262"/>
      <c r="L74" s="262"/>
    </row>
    <row r="75" spans="1:12" s="149" customFormat="1" ht="26.25" x14ac:dyDescent="0.25">
      <c r="A75" s="260" t="s">
        <v>54</v>
      </c>
      <c r="B75" s="261">
        <v>7039100</v>
      </c>
      <c r="C75" s="266" t="s">
        <v>893</v>
      </c>
      <c r="D75" s="263">
        <v>103</v>
      </c>
      <c r="E75" s="264">
        <v>523</v>
      </c>
      <c r="F75" s="263"/>
      <c r="G75" s="264"/>
      <c r="H75" s="263"/>
      <c r="I75" s="264"/>
      <c r="J75" s="262" t="s">
        <v>33</v>
      </c>
      <c r="K75" s="262"/>
      <c r="L75" s="262"/>
    </row>
    <row r="76" spans="1:12" s="149" customFormat="1" x14ac:dyDescent="0.25">
      <c r="A76" s="260" t="s">
        <v>55</v>
      </c>
      <c r="B76" s="261" t="s">
        <v>212</v>
      </c>
      <c r="C76" s="266" t="s">
        <v>893</v>
      </c>
      <c r="D76" s="263">
        <v>42</v>
      </c>
      <c r="E76" s="264">
        <v>119</v>
      </c>
      <c r="F76" s="263"/>
      <c r="G76" s="264"/>
      <c r="H76" s="263"/>
      <c r="I76" s="264"/>
      <c r="J76" s="262" t="s">
        <v>33</v>
      </c>
      <c r="K76" s="262"/>
      <c r="L76" s="262"/>
    </row>
    <row r="77" spans="1:12" s="149" customFormat="1" x14ac:dyDescent="0.25">
      <c r="A77" s="260" t="s">
        <v>56</v>
      </c>
      <c r="B77" s="261" t="s">
        <v>213</v>
      </c>
      <c r="C77" s="266" t="s">
        <v>893</v>
      </c>
      <c r="D77" s="263">
        <v>38</v>
      </c>
      <c r="E77" s="264">
        <v>77</v>
      </c>
      <c r="F77" s="263"/>
      <c r="G77" s="264"/>
      <c r="H77" s="263"/>
      <c r="I77" s="264"/>
      <c r="J77" s="262" t="s">
        <v>33</v>
      </c>
      <c r="K77" s="262"/>
      <c r="L77" s="262"/>
    </row>
    <row r="78" spans="1:12" s="149" customFormat="1" x14ac:dyDescent="0.25">
      <c r="A78" s="260" t="s">
        <v>57</v>
      </c>
      <c r="B78" s="261" t="s">
        <v>214</v>
      </c>
      <c r="C78" s="266" t="s">
        <v>893</v>
      </c>
      <c r="D78" s="263">
        <v>318</v>
      </c>
      <c r="E78" s="264">
        <v>2683</v>
      </c>
      <c r="F78" s="263"/>
      <c r="G78" s="264"/>
      <c r="H78" s="263"/>
      <c r="I78" s="264"/>
      <c r="J78" s="262" t="s">
        <v>33</v>
      </c>
      <c r="K78" s="262"/>
      <c r="L78" s="262"/>
    </row>
    <row r="79" spans="1:12" s="149" customFormat="1" x14ac:dyDescent="0.25">
      <c r="A79" s="260" t="s">
        <v>58</v>
      </c>
      <c r="B79" s="261" t="s">
        <v>215</v>
      </c>
      <c r="C79" s="266" t="s">
        <v>893</v>
      </c>
      <c r="D79" s="263">
        <v>149</v>
      </c>
      <c r="E79" s="264">
        <v>1277</v>
      </c>
      <c r="F79" s="263"/>
      <c r="G79" s="264"/>
      <c r="H79" s="263"/>
      <c r="I79" s="264"/>
      <c r="J79" s="262" t="s">
        <v>33</v>
      </c>
      <c r="K79" s="262"/>
      <c r="L79" s="262"/>
    </row>
    <row r="80" spans="1:12" s="149" customFormat="1" x14ac:dyDescent="0.25">
      <c r="A80" s="260" t="s">
        <v>770</v>
      </c>
      <c r="B80" s="261" t="s">
        <v>216</v>
      </c>
      <c r="C80" s="266" t="s">
        <v>893</v>
      </c>
      <c r="D80" s="263">
        <v>56</v>
      </c>
      <c r="E80" s="264">
        <v>252</v>
      </c>
      <c r="F80" s="263"/>
      <c r="G80" s="264"/>
      <c r="H80" s="263"/>
      <c r="I80" s="264"/>
      <c r="J80" s="262" t="s">
        <v>33</v>
      </c>
      <c r="K80" s="262"/>
      <c r="L80" s="262"/>
    </row>
    <row r="81" spans="1:12" s="149" customFormat="1" x14ac:dyDescent="0.25">
      <c r="A81" s="260" t="s">
        <v>60</v>
      </c>
      <c r="B81" s="261" t="s">
        <v>217</v>
      </c>
      <c r="C81" s="266" t="s">
        <v>893</v>
      </c>
      <c r="D81" s="263">
        <v>57</v>
      </c>
      <c r="E81" s="264">
        <v>69</v>
      </c>
      <c r="F81" s="263"/>
      <c r="G81" s="264"/>
      <c r="H81" s="263"/>
      <c r="I81" s="264"/>
      <c r="J81" s="262" t="s">
        <v>33</v>
      </c>
      <c r="K81" s="262"/>
      <c r="L81" s="262"/>
    </row>
    <row r="82" spans="1:12" s="149" customFormat="1" x14ac:dyDescent="0.25">
      <c r="A82" s="260" t="s">
        <v>61</v>
      </c>
      <c r="B82" s="261" t="s">
        <v>218</v>
      </c>
      <c r="C82" s="266" t="s">
        <v>893</v>
      </c>
      <c r="D82" s="263">
        <v>31</v>
      </c>
      <c r="E82" s="264">
        <v>3</v>
      </c>
      <c r="F82" s="26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62</v>
      </c>
      <c r="B83" s="261" t="s">
        <v>219</v>
      </c>
      <c r="C83" s="266" t="s">
        <v>893</v>
      </c>
      <c r="D83" s="263">
        <v>62</v>
      </c>
      <c r="E83" s="264">
        <v>311</v>
      </c>
      <c r="F83" s="26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771</v>
      </c>
      <c r="B84" s="261">
        <v>1402294701</v>
      </c>
      <c r="C84" s="266" t="s">
        <v>893</v>
      </c>
      <c r="D84" s="263">
        <v>105.75</v>
      </c>
      <c r="E84" s="264">
        <v>559</v>
      </c>
      <c r="F84" s="263"/>
      <c r="G84" s="264"/>
      <c r="H84" s="263"/>
      <c r="I84" s="264"/>
      <c r="J84" s="262"/>
      <c r="K84" s="262"/>
      <c r="L84" s="262"/>
    </row>
    <row r="85" spans="1:12" s="148" customFormat="1" x14ac:dyDescent="0.25">
      <c r="A85" s="254" t="s">
        <v>621</v>
      </c>
      <c r="B85" s="255" t="s">
        <v>201</v>
      </c>
      <c r="C85" s="256" t="s">
        <v>893</v>
      </c>
      <c r="D85" s="257">
        <v>65</v>
      </c>
      <c r="E85" s="258">
        <v>173</v>
      </c>
      <c r="F85" s="257"/>
      <c r="G85" s="258"/>
      <c r="H85" s="257"/>
      <c r="I85" s="258"/>
      <c r="J85" s="256" t="s">
        <v>33</v>
      </c>
      <c r="K85" s="256"/>
      <c r="L85" s="256"/>
    </row>
    <row r="86" spans="1:12" s="149" customFormat="1" x14ac:dyDescent="0.25">
      <c r="A86" s="260" t="s">
        <v>768</v>
      </c>
      <c r="B86" s="261" t="s">
        <v>202</v>
      </c>
      <c r="C86" s="266" t="s">
        <v>893</v>
      </c>
      <c r="D86" s="263">
        <v>1212</v>
      </c>
      <c r="E86" s="264">
        <v>10920</v>
      </c>
      <c r="F86" s="26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96</v>
      </c>
      <c r="B87" s="261">
        <v>7815400</v>
      </c>
      <c r="C87" s="262" t="s">
        <v>893</v>
      </c>
      <c r="D87" s="263">
        <v>46</v>
      </c>
      <c r="E87" s="264">
        <v>77</v>
      </c>
      <c r="F87" s="26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97</v>
      </c>
      <c r="B88" s="261" t="s">
        <v>204</v>
      </c>
      <c r="C88" s="262" t="s">
        <v>893</v>
      </c>
      <c r="D88" s="263">
        <v>58</v>
      </c>
      <c r="E88" s="264">
        <v>11</v>
      </c>
      <c r="F88" s="263"/>
      <c r="G88" s="264"/>
      <c r="H88" s="263"/>
      <c r="I88" s="264"/>
      <c r="J88" s="262" t="s">
        <v>33</v>
      </c>
      <c r="K88" s="262"/>
      <c r="L88" s="262"/>
    </row>
    <row r="89" spans="1:12" s="149" customFormat="1" x14ac:dyDescent="0.25">
      <c r="A89" s="260" t="s">
        <v>98</v>
      </c>
      <c r="B89" s="261" t="s">
        <v>205</v>
      </c>
      <c r="C89" s="262" t="s">
        <v>893</v>
      </c>
      <c r="D89" s="263">
        <v>30</v>
      </c>
      <c r="E89" s="264">
        <v>0</v>
      </c>
      <c r="F89" s="263"/>
      <c r="G89" s="264"/>
      <c r="H89" s="263"/>
      <c r="I89" s="264"/>
      <c r="J89" s="262" t="s">
        <v>33</v>
      </c>
      <c r="K89" s="262"/>
      <c r="L89" s="262"/>
    </row>
    <row r="90" spans="1:12" s="149" customFormat="1" x14ac:dyDescent="0.25">
      <c r="A90" s="260" t="s">
        <v>769</v>
      </c>
      <c r="B90" s="261" t="s">
        <v>206</v>
      </c>
      <c r="C90" s="262" t="s">
        <v>893</v>
      </c>
      <c r="D90" s="263">
        <v>70</v>
      </c>
      <c r="E90" s="264">
        <v>314</v>
      </c>
      <c r="F90" s="26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0" t="s">
        <v>100</v>
      </c>
      <c r="B91" s="282">
        <v>1323346600</v>
      </c>
      <c r="C91" s="262" t="s">
        <v>893</v>
      </c>
      <c r="D91" s="263">
        <v>385</v>
      </c>
      <c r="E91" s="264">
        <v>2400</v>
      </c>
      <c r="F91" s="263"/>
      <c r="G91" s="264"/>
      <c r="H91" s="263"/>
      <c r="I91" s="264"/>
      <c r="J91" s="262" t="s">
        <v>33</v>
      </c>
      <c r="K91" s="262"/>
      <c r="L91" s="262"/>
    </row>
    <row r="92" spans="1:12" s="149" customFormat="1" x14ac:dyDescent="0.25">
      <c r="A92" s="260" t="s">
        <v>101</v>
      </c>
      <c r="B92" s="282">
        <v>1322699400</v>
      </c>
      <c r="C92" s="262" t="s">
        <v>893</v>
      </c>
      <c r="D92" s="263">
        <v>648</v>
      </c>
      <c r="E92" s="264">
        <v>5640</v>
      </c>
      <c r="F92" s="263"/>
      <c r="G92" s="264"/>
      <c r="H92" s="263"/>
      <c r="I92" s="264"/>
      <c r="J92" s="262" t="s">
        <v>33</v>
      </c>
      <c r="K92" s="262"/>
      <c r="L92" s="262"/>
    </row>
    <row r="93" spans="1:12" s="352" customFormat="1" x14ac:dyDescent="0.25">
      <c r="A93" s="346" t="s">
        <v>772</v>
      </c>
      <c r="B93" s="347" t="s">
        <v>200</v>
      </c>
      <c r="C93" s="348" t="s">
        <v>893</v>
      </c>
      <c r="D93" s="349">
        <v>287</v>
      </c>
      <c r="E93" s="350">
        <v>0.08</v>
      </c>
      <c r="F93" s="349"/>
      <c r="G93" s="350"/>
      <c r="H93" s="349"/>
      <c r="I93" s="350"/>
      <c r="J93" s="348" t="s">
        <v>33</v>
      </c>
      <c r="K93" s="348"/>
      <c r="L93" s="348"/>
    </row>
    <row r="94" spans="1:12" s="149" customFormat="1" x14ac:dyDescent="0.25">
      <c r="A94" s="260" t="s">
        <v>110</v>
      </c>
      <c r="B94" s="261" t="s">
        <v>207</v>
      </c>
      <c r="C94" s="262" t="s">
        <v>893</v>
      </c>
      <c r="D94" s="263">
        <v>143</v>
      </c>
      <c r="E94" s="264">
        <v>479</v>
      </c>
      <c r="F94" s="263"/>
      <c r="G94" s="264"/>
      <c r="H94" s="263"/>
      <c r="I94" s="264"/>
      <c r="J94" s="262" t="s">
        <v>33</v>
      </c>
      <c r="K94" s="262"/>
      <c r="L94" s="262"/>
    </row>
    <row r="95" spans="1:12" s="149" customFormat="1" x14ac:dyDescent="0.25">
      <c r="A95" s="260" t="s">
        <v>111</v>
      </c>
      <c r="B95" s="261" t="s">
        <v>222</v>
      </c>
      <c r="C95" s="262" t="s">
        <v>893</v>
      </c>
      <c r="D95" s="263">
        <v>71</v>
      </c>
      <c r="E95" s="264">
        <v>206</v>
      </c>
      <c r="F95" s="263"/>
      <c r="G95" s="264"/>
      <c r="H95" s="263"/>
      <c r="I95" s="264"/>
      <c r="J95" s="262" t="s">
        <v>33</v>
      </c>
      <c r="K95" s="262"/>
      <c r="L95" s="262"/>
    </row>
    <row r="96" spans="1:12" s="149" customFormat="1" x14ac:dyDescent="0.25">
      <c r="A96" s="260" t="s">
        <v>117</v>
      </c>
      <c r="B96" s="261" t="s">
        <v>220</v>
      </c>
      <c r="C96" s="262" t="s">
        <v>893</v>
      </c>
      <c r="D96" s="263">
        <v>100</v>
      </c>
      <c r="E96" s="264">
        <v>494</v>
      </c>
      <c r="F96" s="263"/>
      <c r="G96" s="264"/>
      <c r="H96" s="263"/>
      <c r="I96" s="264"/>
      <c r="J96" s="262" t="s">
        <v>33</v>
      </c>
      <c r="K96" s="262"/>
      <c r="L96" s="262"/>
    </row>
    <row r="97" spans="1:12" s="149" customFormat="1" x14ac:dyDescent="0.25">
      <c r="A97" s="260" t="s">
        <v>118</v>
      </c>
      <c r="B97" s="261" t="s">
        <v>221</v>
      </c>
      <c r="C97" s="266" t="s">
        <v>893</v>
      </c>
      <c r="D97" s="263">
        <v>100</v>
      </c>
      <c r="E97" s="264">
        <v>694</v>
      </c>
      <c r="F97" s="263"/>
      <c r="G97" s="264"/>
      <c r="H97" s="263"/>
      <c r="I97" s="264"/>
      <c r="J97" s="262" t="s">
        <v>33</v>
      </c>
      <c r="K97" s="262"/>
      <c r="L97" s="262"/>
    </row>
    <row r="98" spans="1:12" s="149" customFormat="1" x14ac:dyDescent="0.25">
      <c r="A98" s="260" t="s">
        <v>701</v>
      </c>
      <c r="B98" s="261">
        <v>1323115001</v>
      </c>
      <c r="C98" s="266" t="s">
        <v>893</v>
      </c>
      <c r="D98" s="263">
        <v>1739</v>
      </c>
      <c r="E98" s="264">
        <v>19440</v>
      </c>
      <c r="F98" s="263"/>
      <c r="G98" s="264"/>
      <c r="H98" s="263"/>
      <c r="I98" s="264"/>
      <c r="J98" s="262"/>
      <c r="K98" s="262"/>
      <c r="L98" s="262"/>
    </row>
    <row r="99" spans="1:12" s="149" customFormat="1" x14ac:dyDescent="0.25">
      <c r="A99" s="260" t="s">
        <v>683</v>
      </c>
      <c r="B99" s="261">
        <v>1322673502</v>
      </c>
      <c r="C99" s="266" t="s">
        <v>893</v>
      </c>
      <c r="D99" s="263">
        <v>50</v>
      </c>
      <c r="E99" s="264">
        <v>0</v>
      </c>
      <c r="F99" s="263"/>
      <c r="G99" s="264"/>
      <c r="H99" s="263"/>
      <c r="I99" s="264"/>
      <c r="J99" s="262"/>
      <c r="K99" s="262"/>
      <c r="L99" s="262"/>
    </row>
    <row r="100" spans="1:12" s="149" customFormat="1" x14ac:dyDescent="0.25">
      <c r="A100" s="260" t="s">
        <v>702</v>
      </c>
      <c r="B100" s="261">
        <v>1322725900</v>
      </c>
      <c r="C100" s="266" t="s">
        <v>893</v>
      </c>
      <c r="D100" s="263">
        <v>533</v>
      </c>
      <c r="E100" s="264">
        <v>2280</v>
      </c>
      <c r="F100" s="263"/>
      <c r="G100" s="264"/>
      <c r="H100" s="263"/>
      <c r="I100" s="264"/>
      <c r="J100" s="262"/>
      <c r="K100" s="262"/>
      <c r="L100" s="262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250"/>
      <c r="G101" s="251"/>
      <c r="H101" s="250"/>
      <c r="I101" s="251"/>
      <c r="J101" s="249"/>
      <c r="K101" s="249"/>
      <c r="L101" s="249"/>
    </row>
    <row r="102" spans="1:12" s="149" customFormat="1" x14ac:dyDescent="0.25">
      <c r="A102" s="260" t="s">
        <v>65</v>
      </c>
      <c r="B102" s="261" t="s">
        <v>163</v>
      </c>
      <c r="C102" s="262" t="s">
        <v>898</v>
      </c>
      <c r="D102" s="263"/>
      <c r="E102" s="264"/>
      <c r="F102" s="263"/>
      <c r="G102" s="264"/>
      <c r="H102" s="263">
        <v>156.86000000000001</v>
      </c>
      <c r="I102" s="264">
        <v>244</v>
      </c>
      <c r="J102" s="262"/>
      <c r="K102" s="262"/>
      <c r="L102" s="262"/>
    </row>
    <row r="103" spans="1:12" s="149" customFormat="1" x14ac:dyDescent="0.25">
      <c r="A103" s="260" t="s">
        <v>37</v>
      </c>
      <c r="B103" s="261" t="s">
        <v>190</v>
      </c>
      <c r="C103" s="266" t="s">
        <v>898</v>
      </c>
      <c r="D103" s="263"/>
      <c r="E103" s="264"/>
      <c r="F103" s="263"/>
      <c r="G103" s="264"/>
      <c r="H103" s="263">
        <v>192.82</v>
      </c>
      <c r="I103" s="264">
        <v>277</v>
      </c>
      <c r="J103" s="262"/>
      <c r="K103" s="262"/>
      <c r="L103" s="262"/>
    </row>
    <row r="104" spans="1:12" s="149" customFormat="1" x14ac:dyDescent="0.25">
      <c r="A104" s="260" t="s">
        <v>71</v>
      </c>
      <c r="B104" s="261" t="s">
        <v>188</v>
      </c>
      <c r="C104" s="262" t="s">
        <v>893</v>
      </c>
      <c r="D104" s="263"/>
      <c r="E104" s="264"/>
      <c r="F104" s="263"/>
      <c r="G104" s="264"/>
      <c r="H104" s="263">
        <v>33.659999999999997</v>
      </c>
      <c r="I104" s="264">
        <v>3</v>
      </c>
      <c r="J104" s="262"/>
      <c r="K104" s="262"/>
      <c r="L104" s="262"/>
    </row>
    <row r="105" spans="1:12" s="149" customFormat="1" x14ac:dyDescent="0.25">
      <c r="A105" s="260" t="s">
        <v>72</v>
      </c>
      <c r="B105" s="261" t="s">
        <v>187</v>
      </c>
      <c r="C105" s="262" t="s">
        <v>893</v>
      </c>
      <c r="D105" s="263"/>
      <c r="E105" s="264"/>
      <c r="F105" s="26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73</v>
      </c>
      <c r="B106" s="261" t="s">
        <v>171</v>
      </c>
      <c r="C106" s="262" t="s">
        <v>893</v>
      </c>
      <c r="D106" s="263"/>
      <c r="E106" s="264"/>
      <c r="F106" s="263"/>
      <c r="G106" s="264"/>
      <c r="H106" s="263">
        <v>41.14</v>
      </c>
      <c r="I106" s="264">
        <v>34</v>
      </c>
      <c r="J106" s="262"/>
      <c r="K106" s="262"/>
      <c r="L106" s="262"/>
    </row>
    <row r="107" spans="1:12" s="149" customFormat="1" x14ac:dyDescent="0.25">
      <c r="A107" s="260" t="s">
        <v>74</v>
      </c>
      <c r="B107" s="261" t="s">
        <v>170</v>
      </c>
      <c r="C107" s="262" t="s">
        <v>893</v>
      </c>
      <c r="D107" s="263"/>
      <c r="E107" s="264"/>
      <c r="F107" s="263"/>
      <c r="G107" s="264"/>
      <c r="H107" s="263">
        <v>33.659999999999997</v>
      </c>
      <c r="I107" s="264">
        <v>8</v>
      </c>
      <c r="J107" s="262"/>
      <c r="K107" s="262"/>
      <c r="L107" s="262"/>
    </row>
    <row r="108" spans="1:12" s="149" customFormat="1" x14ac:dyDescent="0.25">
      <c r="A108" s="260" t="s">
        <v>75</v>
      </c>
      <c r="B108" s="261" t="s">
        <v>189</v>
      </c>
      <c r="C108" s="262" t="s">
        <v>893</v>
      </c>
      <c r="D108" s="263"/>
      <c r="E108" s="264"/>
      <c r="F108" s="263"/>
      <c r="G108" s="264"/>
      <c r="H108" s="263">
        <v>52.35</v>
      </c>
      <c r="I108" s="264">
        <v>55</v>
      </c>
      <c r="J108" s="262"/>
      <c r="K108" s="262"/>
      <c r="L108" s="262"/>
    </row>
    <row r="109" spans="1:12" s="149" customFormat="1" x14ac:dyDescent="0.25">
      <c r="A109" s="260" t="s">
        <v>76</v>
      </c>
      <c r="B109" s="261" t="s">
        <v>169</v>
      </c>
      <c r="C109" s="262" t="s">
        <v>893</v>
      </c>
      <c r="D109" s="263"/>
      <c r="E109" s="264"/>
      <c r="F109" s="26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12" s="149" customFormat="1" x14ac:dyDescent="0.25">
      <c r="A110" s="260" t="s">
        <v>77</v>
      </c>
      <c r="B110" s="261" t="s">
        <v>168</v>
      </c>
      <c r="C110" s="262" t="s">
        <v>893</v>
      </c>
      <c r="D110" s="263"/>
      <c r="E110" s="264"/>
      <c r="F110" s="263"/>
      <c r="G110" s="264"/>
      <c r="H110" s="263">
        <v>203.42</v>
      </c>
      <c r="I110" s="264">
        <v>292</v>
      </c>
      <c r="J110" s="262"/>
      <c r="K110" s="262"/>
      <c r="L110" s="262"/>
    </row>
    <row r="111" spans="1:12" s="149" customFormat="1" x14ac:dyDescent="0.25">
      <c r="A111" s="260" t="s">
        <v>78</v>
      </c>
      <c r="B111" s="261" t="s">
        <v>197</v>
      </c>
      <c r="C111" s="262" t="s">
        <v>893</v>
      </c>
      <c r="D111" s="263"/>
      <c r="E111" s="264"/>
      <c r="F111" s="263"/>
      <c r="G111" s="264"/>
      <c r="H111" s="263">
        <v>33.659999999999997</v>
      </c>
      <c r="I111" s="264">
        <v>12</v>
      </c>
      <c r="J111" s="262"/>
      <c r="K111" s="262"/>
      <c r="L111" s="262"/>
    </row>
    <row r="112" spans="1:12" s="149" customFormat="1" x14ac:dyDescent="0.25">
      <c r="A112" s="260" t="s">
        <v>79</v>
      </c>
      <c r="B112" s="261" t="s">
        <v>167</v>
      </c>
      <c r="C112" s="266" t="s">
        <v>893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2"/>
      <c r="L112" s="262"/>
    </row>
    <row r="113" spans="1:12" s="149" customFormat="1" x14ac:dyDescent="0.25">
      <c r="A113" s="283" t="s">
        <v>80</v>
      </c>
      <c r="B113" s="284" t="s">
        <v>177</v>
      </c>
      <c r="C113" s="285" t="s">
        <v>893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62"/>
      <c r="L113" s="262"/>
    </row>
    <row r="114" spans="1:12" s="149" customFormat="1" x14ac:dyDescent="0.25">
      <c r="A114" s="260" t="s">
        <v>81</v>
      </c>
      <c r="B114" s="261" t="s">
        <v>180</v>
      </c>
      <c r="C114" s="262" t="s">
        <v>893</v>
      </c>
      <c r="D114" s="263"/>
      <c r="E114" s="264"/>
      <c r="F114" s="263"/>
      <c r="G114" s="264"/>
      <c r="H114" s="263">
        <v>33.659999999999997</v>
      </c>
      <c r="I114" s="264">
        <v>5</v>
      </c>
      <c r="J114" s="262"/>
      <c r="K114" s="262"/>
      <c r="L114" s="262"/>
    </row>
    <row r="115" spans="1:12" s="149" customFormat="1" x14ac:dyDescent="0.25">
      <c r="A115" s="260" t="s">
        <v>82</v>
      </c>
      <c r="B115" s="261" t="s">
        <v>179</v>
      </c>
      <c r="C115" s="262" t="s">
        <v>893</v>
      </c>
      <c r="D115" s="263"/>
      <c r="E115" s="264"/>
      <c r="F115" s="263"/>
      <c r="G115" s="264"/>
      <c r="H115" s="263">
        <v>49.15</v>
      </c>
      <c r="I115" s="264">
        <v>49</v>
      </c>
      <c r="J115" s="262"/>
      <c r="K115" s="262"/>
      <c r="L115" s="262"/>
    </row>
    <row r="116" spans="1:12" s="149" customFormat="1" x14ac:dyDescent="0.25">
      <c r="A116" s="260" t="s">
        <v>83</v>
      </c>
      <c r="B116" s="261" t="s">
        <v>178</v>
      </c>
      <c r="C116" s="262" t="s">
        <v>893</v>
      </c>
      <c r="D116" s="263"/>
      <c r="E116" s="264"/>
      <c r="F116" s="263"/>
      <c r="G116" s="264"/>
      <c r="H116" s="263">
        <v>43.27</v>
      </c>
      <c r="I116" s="264">
        <v>38</v>
      </c>
      <c r="J116" s="262"/>
      <c r="K116" s="262"/>
      <c r="L116" s="262"/>
    </row>
    <row r="117" spans="1:12" s="149" customFormat="1" x14ac:dyDescent="0.25">
      <c r="A117" s="260" t="s">
        <v>84</v>
      </c>
      <c r="B117" s="261" t="s">
        <v>175</v>
      </c>
      <c r="C117" s="262" t="s">
        <v>893</v>
      </c>
      <c r="D117" s="263"/>
      <c r="E117" s="264"/>
      <c r="F117" s="263"/>
      <c r="G117" s="264"/>
      <c r="H117" s="263">
        <v>36.33</v>
      </c>
      <c r="I117" s="264">
        <v>25</v>
      </c>
      <c r="J117" s="262"/>
      <c r="K117" s="262"/>
      <c r="L117" s="262"/>
    </row>
    <row r="118" spans="1:12" s="149" customFormat="1" x14ac:dyDescent="0.25">
      <c r="A118" s="260" t="s">
        <v>85</v>
      </c>
      <c r="B118" s="261" t="s">
        <v>184</v>
      </c>
      <c r="C118" s="262" t="s">
        <v>893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2"/>
      <c r="L118" s="262"/>
    </row>
    <row r="119" spans="1:12" s="149" customFormat="1" x14ac:dyDescent="0.25">
      <c r="A119" s="260" t="s">
        <v>86</v>
      </c>
      <c r="B119" s="261" t="s">
        <v>185</v>
      </c>
      <c r="C119" s="262" t="s">
        <v>893</v>
      </c>
      <c r="D119" s="263"/>
      <c r="E119" s="264"/>
      <c r="F119" s="263"/>
      <c r="G119" s="264"/>
      <c r="H119" s="263">
        <v>33.659999999999997</v>
      </c>
      <c r="I119" s="264">
        <v>1</v>
      </c>
      <c r="J119" s="262"/>
      <c r="K119" s="262"/>
      <c r="L119" s="262"/>
    </row>
    <row r="120" spans="1:12" s="149" customFormat="1" x14ac:dyDescent="0.25">
      <c r="A120" s="260" t="s">
        <v>87</v>
      </c>
      <c r="B120" s="261" t="s">
        <v>181</v>
      </c>
      <c r="C120" s="262" t="s">
        <v>893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12" s="149" customFormat="1" x14ac:dyDescent="0.25">
      <c r="A121" s="260" t="s">
        <v>88</v>
      </c>
      <c r="B121" s="261" t="s">
        <v>172</v>
      </c>
      <c r="C121" s="262" t="s">
        <v>893</v>
      </c>
      <c r="D121" s="263"/>
      <c r="E121" s="264"/>
      <c r="F121" s="263"/>
      <c r="G121" s="264"/>
      <c r="H121" s="263">
        <v>109.48</v>
      </c>
      <c r="I121" s="264">
        <v>151</v>
      </c>
      <c r="J121" s="262"/>
      <c r="K121" s="262"/>
      <c r="L121" s="262"/>
    </row>
    <row r="122" spans="1:12" s="149" customFormat="1" x14ac:dyDescent="0.25">
      <c r="A122" s="260" t="s">
        <v>89</v>
      </c>
      <c r="B122" s="261" t="s">
        <v>173</v>
      </c>
      <c r="C122" s="262" t="s">
        <v>899</v>
      </c>
      <c r="D122" s="263"/>
      <c r="E122" s="264"/>
      <c r="F122" s="263"/>
      <c r="G122" s="264"/>
      <c r="H122" s="263">
        <v>60.36</v>
      </c>
      <c r="I122" s="264">
        <v>70</v>
      </c>
      <c r="J122" s="262"/>
      <c r="K122" s="262"/>
      <c r="L122" s="262"/>
    </row>
    <row r="123" spans="1:12" s="149" customFormat="1" x14ac:dyDescent="0.25">
      <c r="A123" s="260" t="s">
        <v>90</v>
      </c>
      <c r="B123" s="261" t="s">
        <v>174</v>
      </c>
      <c r="C123" s="262" t="s">
        <v>893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12" s="149" customFormat="1" x14ac:dyDescent="0.25">
      <c r="A124" s="260" t="s">
        <v>91</v>
      </c>
      <c r="B124" s="261" t="s">
        <v>182</v>
      </c>
      <c r="C124" s="262" t="s">
        <v>893</v>
      </c>
      <c r="D124" s="263"/>
      <c r="E124" s="264"/>
      <c r="F124" s="263"/>
      <c r="G124" s="264"/>
      <c r="H124" s="263">
        <v>33.659999999999997</v>
      </c>
      <c r="I124" s="264">
        <v>17</v>
      </c>
      <c r="J124" s="262"/>
      <c r="K124" s="262"/>
      <c r="L124" s="262"/>
    </row>
    <row r="125" spans="1:12" s="149" customFormat="1" x14ac:dyDescent="0.25">
      <c r="A125" s="260" t="s">
        <v>92</v>
      </c>
      <c r="B125" s="261" t="s">
        <v>186</v>
      </c>
      <c r="C125" s="262" t="s">
        <v>893</v>
      </c>
      <c r="D125" s="263"/>
      <c r="E125" s="264"/>
      <c r="F125" s="263"/>
      <c r="G125" s="264"/>
      <c r="H125" s="263">
        <v>33.659999999999997</v>
      </c>
      <c r="I125" s="264">
        <v>0</v>
      </c>
      <c r="J125" s="262"/>
      <c r="K125" s="262"/>
      <c r="L125" s="262"/>
    </row>
    <row r="126" spans="1:12" s="149" customFormat="1" x14ac:dyDescent="0.25">
      <c r="A126" s="260" t="s">
        <v>93</v>
      </c>
      <c r="B126" s="261" t="s">
        <v>183</v>
      </c>
      <c r="C126" s="262" t="s">
        <v>893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2"/>
      <c r="L126" s="262"/>
    </row>
    <row r="127" spans="1:12" s="149" customFormat="1" x14ac:dyDescent="0.25">
      <c r="A127" s="260" t="s">
        <v>103</v>
      </c>
      <c r="B127" s="261" t="s">
        <v>194</v>
      </c>
      <c r="C127" s="262" t="s">
        <v>893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2"/>
      <c r="L127" s="262"/>
    </row>
    <row r="128" spans="1:12" s="582" customFormat="1" x14ac:dyDescent="0.25">
      <c r="A128" s="576" t="s">
        <v>104</v>
      </c>
      <c r="B128" s="577" t="s">
        <v>195</v>
      </c>
      <c r="C128" s="581" t="s">
        <v>577</v>
      </c>
      <c r="D128" s="579"/>
      <c r="E128" s="580"/>
      <c r="F128" s="579"/>
      <c r="G128" s="580"/>
      <c r="H128" s="579"/>
      <c r="I128" s="580"/>
      <c r="J128" s="581"/>
      <c r="K128" s="581"/>
      <c r="L128" s="581"/>
    </row>
    <row r="129" spans="1:12" s="149" customFormat="1" x14ac:dyDescent="0.25">
      <c r="A129" s="260" t="s">
        <v>105</v>
      </c>
      <c r="B129" s="261" t="s">
        <v>196</v>
      </c>
      <c r="C129" s="262" t="s">
        <v>893</v>
      </c>
      <c r="D129" s="263"/>
      <c r="E129" s="264"/>
      <c r="F129" s="263"/>
      <c r="G129" s="264"/>
      <c r="H129" s="263">
        <v>50.49</v>
      </c>
      <c r="I129" s="264">
        <v>0</v>
      </c>
      <c r="J129" s="262"/>
      <c r="K129" s="262"/>
      <c r="L129" s="262"/>
    </row>
    <row r="130" spans="1:12" s="149" customFormat="1" x14ac:dyDescent="0.25">
      <c r="A130" s="260" t="s">
        <v>68</v>
      </c>
      <c r="B130" s="261" t="s">
        <v>166</v>
      </c>
      <c r="C130" s="262" t="s">
        <v>893</v>
      </c>
      <c r="D130" s="263"/>
      <c r="E130" s="264"/>
      <c r="F130" s="263"/>
      <c r="G130" s="264"/>
      <c r="H130" s="263">
        <v>43.27</v>
      </c>
      <c r="I130" s="264">
        <v>38</v>
      </c>
      <c r="J130" s="262"/>
      <c r="K130" s="262"/>
      <c r="L130" s="262"/>
    </row>
    <row r="131" spans="1:12" s="149" customFormat="1" x14ac:dyDescent="0.25">
      <c r="A131" s="260" t="s">
        <v>46</v>
      </c>
      <c r="B131" s="261" t="s">
        <v>193</v>
      </c>
      <c r="C131" s="262" t="s">
        <v>898</v>
      </c>
      <c r="D131" s="263"/>
      <c r="E131" s="264"/>
      <c r="F131" s="263"/>
      <c r="G131" s="264"/>
      <c r="H131" s="263">
        <v>33.659999999999997</v>
      </c>
      <c r="I131" s="264">
        <v>18</v>
      </c>
      <c r="J131" s="262"/>
      <c r="K131" s="262"/>
      <c r="L131" s="262"/>
    </row>
    <row r="132" spans="1:12" s="149" customFormat="1" x14ac:dyDescent="0.25">
      <c r="A132" s="260" t="s">
        <v>17</v>
      </c>
      <c r="B132" s="261" t="s">
        <v>192</v>
      </c>
      <c r="C132" s="262" t="s">
        <v>898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2"/>
      <c r="L132" s="262"/>
    </row>
    <row r="133" spans="1:12" s="149" customFormat="1" x14ac:dyDescent="0.25">
      <c r="A133" s="260" t="s">
        <v>47</v>
      </c>
      <c r="B133" s="261" t="s">
        <v>139</v>
      </c>
      <c r="C133" s="262" t="s">
        <v>900</v>
      </c>
      <c r="D133" s="263"/>
      <c r="E133" s="264"/>
      <c r="F133" s="263"/>
      <c r="G133" s="264"/>
      <c r="H133" s="263">
        <v>49.15</v>
      </c>
      <c r="I133" s="264">
        <v>49</v>
      </c>
      <c r="J133" s="262"/>
      <c r="K133" s="262"/>
      <c r="L133" s="262"/>
    </row>
    <row r="134" spans="1:12" s="149" customFormat="1" x14ac:dyDescent="0.25">
      <c r="A134" s="260" t="s">
        <v>64</v>
      </c>
      <c r="B134" s="261" t="s">
        <v>191</v>
      </c>
      <c r="C134" s="262" t="s">
        <v>893</v>
      </c>
      <c r="D134" s="263"/>
      <c r="E134" s="264"/>
      <c r="F134" s="263"/>
      <c r="G134" s="264"/>
      <c r="H134" s="263">
        <v>160.75</v>
      </c>
      <c r="I134" s="264">
        <v>230</v>
      </c>
      <c r="J134" s="262"/>
      <c r="K134" s="262"/>
      <c r="L134" s="262"/>
    </row>
    <row r="135" spans="1:12" s="149" customFormat="1" x14ac:dyDescent="0.25">
      <c r="A135" s="260" t="s">
        <v>130</v>
      </c>
      <c r="B135" s="261" t="s">
        <v>131</v>
      </c>
      <c r="C135" s="262" t="s">
        <v>900</v>
      </c>
      <c r="D135" s="263"/>
      <c r="E135" s="264"/>
      <c r="F135" s="263"/>
      <c r="G135" s="264"/>
      <c r="H135" s="263">
        <v>1298</v>
      </c>
      <c r="I135" s="264">
        <v>1731</v>
      </c>
      <c r="J135" s="262"/>
      <c r="K135" s="262"/>
      <c r="L135" s="262"/>
    </row>
    <row r="136" spans="1:12" s="149" customFormat="1" x14ac:dyDescent="0.25">
      <c r="A136" s="260" t="s">
        <v>134</v>
      </c>
      <c r="B136" s="261" t="s">
        <v>133</v>
      </c>
      <c r="C136" s="262" t="s">
        <v>900</v>
      </c>
      <c r="D136" s="263"/>
      <c r="E136" s="264"/>
      <c r="F136" s="263"/>
      <c r="G136" s="264"/>
      <c r="H136" s="263">
        <v>45.41</v>
      </c>
      <c r="I136" s="264">
        <v>42</v>
      </c>
      <c r="J136" s="262"/>
      <c r="K136" s="262"/>
      <c r="L136" s="262"/>
    </row>
    <row r="137" spans="1:12" s="149" customFormat="1" x14ac:dyDescent="0.25">
      <c r="A137" s="260" t="s">
        <v>543</v>
      </c>
      <c r="B137" s="261" t="s">
        <v>135</v>
      </c>
      <c r="C137" s="262" t="s">
        <v>900</v>
      </c>
      <c r="D137" s="263"/>
      <c r="E137" s="264"/>
      <c r="F137" s="263"/>
      <c r="G137" s="264"/>
      <c r="H137" s="263">
        <v>1418.87</v>
      </c>
      <c r="I137" s="264">
        <v>1889</v>
      </c>
      <c r="J137" s="262"/>
      <c r="K137" s="262"/>
      <c r="L137" s="262"/>
    </row>
    <row r="138" spans="1:12" s="149" customFormat="1" x14ac:dyDescent="0.25">
      <c r="A138" s="260" t="s">
        <v>137</v>
      </c>
      <c r="B138" s="261" t="s">
        <v>138</v>
      </c>
      <c r="C138" s="262" t="s">
        <v>900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2"/>
      <c r="L138" s="262"/>
    </row>
    <row r="139" spans="1:12" s="149" customFormat="1" x14ac:dyDescent="0.25">
      <c r="A139" s="260" t="s">
        <v>140</v>
      </c>
      <c r="B139" s="261" t="s">
        <v>141</v>
      </c>
      <c r="C139" s="266" t="s">
        <v>900</v>
      </c>
      <c r="D139" s="263"/>
      <c r="E139" s="264"/>
      <c r="F139" s="263"/>
      <c r="G139" s="264"/>
      <c r="H139" s="263">
        <v>33.659999999999997</v>
      </c>
      <c r="I139" s="264">
        <v>0</v>
      </c>
      <c r="J139" s="262"/>
      <c r="K139" s="262"/>
      <c r="L139" s="262"/>
    </row>
    <row r="140" spans="1:12" s="149" customFormat="1" x14ac:dyDescent="0.25">
      <c r="A140" s="260" t="s">
        <v>901</v>
      </c>
      <c r="B140" s="261" t="s">
        <v>143</v>
      </c>
      <c r="C140" s="262" t="s">
        <v>900</v>
      </c>
      <c r="D140" s="263"/>
      <c r="E140" s="264"/>
      <c r="F140" s="263"/>
      <c r="G140" s="264"/>
      <c r="H140" s="263">
        <v>34.729999999999997</v>
      </c>
      <c r="I140" s="264">
        <v>22</v>
      </c>
      <c r="J140" s="262"/>
      <c r="K140" s="262"/>
      <c r="L140" s="262"/>
    </row>
    <row r="141" spans="1:12" s="149" customFormat="1" x14ac:dyDescent="0.25">
      <c r="A141" s="260" t="s">
        <v>587</v>
      </c>
      <c r="B141" s="261" t="s">
        <v>145</v>
      </c>
      <c r="C141" s="262" t="s">
        <v>900</v>
      </c>
      <c r="D141" s="263"/>
      <c r="E141" s="264"/>
      <c r="F141" s="263"/>
      <c r="G141" s="264"/>
      <c r="H141" s="263">
        <v>339.67</v>
      </c>
      <c r="I141" s="264">
        <v>340</v>
      </c>
      <c r="J141" s="262"/>
      <c r="K141" s="262"/>
      <c r="L141" s="262"/>
    </row>
    <row r="142" spans="1:12" s="149" customFormat="1" x14ac:dyDescent="0.25">
      <c r="A142" s="260" t="s">
        <v>588</v>
      </c>
      <c r="B142" s="261" t="s">
        <v>147</v>
      </c>
      <c r="C142" s="262" t="s">
        <v>900</v>
      </c>
      <c r="D142" s="263"/>
      <c r="E142" s="264"/>
      <c r="F142" s="263"/>
      <c r="G142" s="264"/>
      <c r="H142" s="263">
        <v>180.09</v>
      </c>
      <c r="I142" s="264">
        <v>259</v>
      </c>
      <c r="J142" s="262"/>
      <c r="K142" s="262"/>
      <c r="L142" s="262"/>
    </row>
    <row r="143" spans="1:12" s="149" customFormat="1" x14ac:dyDescent="0.25">
      <c r="A143" s="260" t="s">
        <v>176</v>
      </c>
      <c r="B143" s="261" t="s">
        <v>165</v>
      </c>
      <c r="C143" s="262" t="s">
        <v>898</v>
      </c>
      <c r="D143" s="263"/>
      <c r="E143" s="264"/>
      <c r="F143" s="263"/>
      <c r="G143" s="264"/>
      <c r="H143" s="263">
        <v>154.26</v>
      </c>
      <c r="I143" s="264">
        <v>220</v>
      </c>
      <c r="J143" s="262"/>
      <c r="K143" s="262"/>
      <c r="L143" s="262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49"/>
      <c r="L144" s="249"/>
    </row>
    <row r="145" spans="1:12" s="149" customFormat="1" x14ac:dyDescent="0.25">
      <c r="A145" s="260" t="s">
        <v>107</v>
      </c>
      <c r="B145" s="261">
        <v>67</v>
      </c>
      <c r="C145" s="266">
        <v>42832</v>
      </c>
      <c r="D145" s="263"/>
      <c r="E145" s="264"/>
      <c r="F145" s="263"/>
      <c r="G145" s="264"/>
      <c r="H145" s="263">
        <v>52.5</v>
      </c>
      <c r="I145" s="264">
        <v>200</v>
      </c>
      <c r="J145" s="262"/>
      <c r="K145" s="262"/>
      <c r="L145" s="262"/>
    </row>
    <row r="146" spans="1:12" s="149" customFormat="1" x14ac:dyDescent="0.25">
      <c r="A146" s="260" t="s">
        <v>109</v>
      </c>
      <c r="B146" s="261">
        <v>95</v>
      </c>
      <c r="C146" s="266">
        <v>42832</v>
      </c>
      <c r="D146" s="263"/>
      <c r="E146" s="264"/>
      <c r="F146" s="263"/>
      <c r="G146" s="264"/>
      <c r="H146" s="263">
        <v>60</v>
      </c>
      <c r="I146" s="264">
        <v>800</v>
      </c>
      <c r="J146" s="262"/>
      <c r="K146" s="262"/>
      <c r="L146" s="262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49"/>
      <c r="L147" s="249"/>
    </row>
    <row r="148" spans="1:12" s="149" customFormat="1" x14ac:dyDescent="0.25">
      <c r="A148" s="260" t="s">
        <v>156</v>
      </c>
      <c r="B148" s="291">
        <v>61</v>
      </c>
      <c r="C148" s="266">
        <v>42835</v>
      </c>
      <c r="D148" s="263"/>
      <c r="E148" s="264"/>
      <c r="F148" s="263"/>
      <c r="G148" s="264"/>
      <c r="H148" s="263">
        <v>35.18</v>
      </c>
      <c r="I148" s="264">
        <v>0</v>
      </c>
      <c r="J148" s="262"/>
      <c r="K148" s="262"/>
      <c r="L148" s="262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49"/>
      <c r="L149" s="249"/>
    </row>
    <row r="150" spans="1:12" s="149" customFormat="1" ht="26.25" x14ac:dyDescent="0.25">
      <c r="A150" s="260" t="s">
        <v>40</v>
      </c>
      <c r="B150" s="261">
        <v>95</v>
      </c>
      <c r="C150" s="266" t="s">
        <v>892</v>
      </c>
      <c r="D150" s="263"/>
      <c r="E150" s="264"/>
      <c r="F150" s="263"/>
      <c r="G150" s="264"/>
      <c r="H150" s="263">
        <v>16</v>
      </c>
      <c r="I150" s="264">
        <v>100</v>
      </c>
      <c r="J150" s="262"/>
      <c r="K150" s="262"/>
      <c r="L150" s="262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49"/>
      <c r="L151" s="249"/>
    </row>
    <row r="152" spans="1:12" s="582" customFormat="1" x14ac:dyDescent="0.25">
      <c r="A152" s="576" t="s">
        <v>355</v>
      </c>
      <c r="B152" s="577" t="s">
        <v>356</v>
      </c>
      <c r="C152" s="578" t="s">
        <v>581</v>
      </c>
      <c r="D152" s="579"/>
      <c r="E152" s="580"/>
      <c r="F152" s="579"/>
      <c r="G152" s="580"/>
      <c r="H152" s="579"/>
      <c r="I152" s="580"/>
      <c r="J152" s="581"/>
      <c r="K152" s="581"/>
      <c r="L152" s="581"/>
    </row>
    <row r="153" spans="1:12" s="585" customFormat="1" ht="46.5" customHeight="1" x14ac:dyDescent="0.25">
      <c r="A153" s="559"/>
      <c r="B153" s="559"/>
      <c r="C153" s="559"/>
      <c r="D153" s="574">
        <f t="shared" ref="D153:I153" si="0">SUM(D2:D150)</f>
        <v>19457.7</v>
      </c>
      <c r="E153" s="561">
        <f t="shared" si="0"/>
        <v>216978.08</v>
      </c>
      <c r="F153" s="574">
        <f t="shared" si="0"/>
        <v>2069.14</v>
      </c>
      <c r="G153" s="561">
        <f t="shared" si="0"/>
        <v>2431</v>
      </c>
      <c r="H153" s="574">
        <f t="shared" si="0"/>
        <v>5556.75</v>
      </c>
      <c r="I153" s="561">
        <f t="shared" si="0"/>
        <v>7222</v>
      </c>
      <c r="J153" s="560"/>
      <c r="K153" s="559"/>
      <c r="L153" s="559"/>
    </row>
    <row r="154" spans="1:12" s="359" customFormat="1" ht="140.25" customHeight="1" x14ac:dyDescent="0.25">
      <c r="A154" s="355"/>
      <c r="B154" s="355"/>
      <c r="C154" s="355"/>
      <c r="D154" s="356"/>
      <c r="E154" s="357"/>
      <c r="F154" s="356"/>
      <c r="G154" s="357"/>
      <c r="H154" s="356"/>
      <c r="I154" s="357"/>
      <c r="J154" s="355"/>
      <c r="K154" s="355"/>
      <c r="L154" s="355"/>
    </row>
    <row r="155" spans="1:12" s="184" customFormat="1" x14ac:dyDescent="0.25">
      <c r="A155" s="245"/>
      <c r="B155" s="245"/>
      <c r="C155" s="245"/>
      <c r="D155" s="269"/>
      <c r="E155" s="270"/>
      <c r="F155" s="269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269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269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269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269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269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269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269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269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269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269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269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269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269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269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269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269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269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269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269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269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269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269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269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269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269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269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269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269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269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269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269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269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269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269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269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269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269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269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269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269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269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269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269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269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269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269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269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269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269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269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269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269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269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269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269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269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269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269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269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269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269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269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269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269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269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269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269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269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269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269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269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269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269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269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269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269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269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269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269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269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269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269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269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269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269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269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269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269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269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269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269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269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269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269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269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269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269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269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269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269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269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269"/>
      <c r="G257" s="270"/>
      <c r="H257" s="269"/>
      <c r="I257" s="270"/>
      <c r="J257" s="245"/>
      <c r="K257" s="245"/>
      <c r="L257" s="245"/>
    </row>
    <row r="258" spans="1:12" s="184" customFormat="1" x14ac:dyDescent="0.25">
      <c r="A258" s="245"/>
      <c r="B258" s="245"/>
      <c r="C258" s="245"/>
      <c r="D258" s="269"/>
      <c r="E258" s="270"/>
      <c r="F258" s="269"/>
      <c r="G258" s="270"/>
      <c r="H258" s="269"/>
      <c r="I258" s="270"/>
      <c r="J258" s="245"/>
      <c r="K258" s="245"/>
      <c r="L258" s="245"/>
    </row>
    <row r="259" spans="1:12" s="184" customFormat="1" x14ac:dyDescent="0.25">
      <c r="A259" s="245"/>
      <c r="B259" s="245"/>
      <c r="C259" s="245"/>
      <c r="D259" s="269"/>
      <c r="E259" s="270"/>
      <c r="F259" s="269"/>
      <c r="G259" s="270"/>
      <c r="H259" s="269"/>
      <c r="I259" s="270"/>
      <c r="J259" s="245"/>
      <c r="K259" s="245"/>
      <c r="L259" s="245"/>
    </row>
    <row r="260" spans="1:12" s="184" customFormat="1" x14ac:dyDescent="0.25">
      <c r="A260" s="245"/>
      <c r="B260" s="245"/>
      <c r="C260" s="245"/>
      <c r="D260" s="269"/>
      <c r="E260" s="270"/>
      <c r="F260" s="269"/>
      <c r="G260" s="270"/>
      <c r="H260" s="269"/>
      <c r="I260" s="270"/>
      <c r="J260" s="245"/>
      <c r="K260" s="245"/>
      <c r="L260" s="245"/>
    </row>
    <row r="261" spans="1:12" s="184" customFormat="1" x14ac:dyDescent="0.25">
      <c r="A261" s="245"/>
      <c r="B261" s="245"/>
      <c r="C261" s="245"/>
      <c r="D261" s="269"/>
      <c r="E261" s="270"/>
      <c r="F261" s="269"/>
      <c r="G261" s="270"/>
      <c r="H261" s="269"/>
      <c r="I261" s="270"/>
      <c r="J261" s="245"/>
      <c r="K261" s="245"/>
      <c r="L261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887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39"/>
      <c r="B4" s="540"/>
      <c r="C4" s="540"/>
      <c r="D4" s="540"/>
      <c r="E4" s="540"/>
      <c r="F4" s="540"/>
      <c r="G4" s="54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209620</v>
      </c>
      <c r="D13" s="34"/>
      <c r="E13" s="35" t="s">
        <v>33</v>
      </c>
      <c r="F13" s="34"/>
      <c r="G13" s="42">
        <v>19826.05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5297</v>
      </c>
      <c r="D15" s="34"/>
      <c r="E15" s="35" t="s">
        <v>10</v>
      </c>
      <c r="F15" s="34"/>
      <c r="G15" s="42">
        <v>4291.7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5076</v>
      </c>
      <c r="D17" s="34"/>
      <c r="E17" s="35" t="s">
        <v>278</v>
      </c>
      <c r="F17" s="34"/>
      <c r="G17" s="42">
        <v>3818.83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54"/>
  <sheetViews>
    <sheetView zoomScale="110" zoomScaleNormal="110" workbookViewId="0">
      <pane ySplit="2" topLeftCell="A39" activePane="bottomLeft" state="frozen"/>
      <selection pane="bottomLeft" activeCell="A61" sqref="A61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3"/>
      <c r="L2" s="253"/>
    </row>
    <row r="3" spans="1:12" s="148" customFormat="1" ht="26.25" x14ac:dyDescent="0.25">
      <c r="A3" s="254" t="s">
        <v>339</v>
      </c>
      <c r="B3" s="255">
        <v>3038136345</v>
      </c>
      <c r="C3" s="256" t="s">
        <v>764</v>
      </c>
      <c r="D3" s="257"/>
      <c r="E3" s="258"/>
      <c r="F3" s="257">
        <v>1273.42</v>
      </c>
      <c r="G3" s="258">
        <v>1796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766</v>
      </c>
      <c r="D4" s="263"/>
      <c r="E4" s="264"/>
      <c r="F4" s="263">
        <v>269.81</v>
      </c>
      <c r="G4" s="264">
        <v>325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765</v>
      </c>
      <c r="D5" s="257"/>
      <c r="E5" s="258"/>
      <c r="F5" s="257">
        <v>371.26</v>
      </c>
      <c r="G5" s="258">
        <v>476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774</v>
      </c>
      <c r="D6" s="263"/>
      <c r="E6" s="264"/>
      <c r="F6" s="263">
        <v>249.23</v>
      </c>
      <c r="G6" s="264">
        <v>313</v>
      </c>
      <c r="H6" s="263"/>
      <c r="I6" s="264"/>
      <c r="J6" s="262" t="s">
        <v>10</v>
      </c>
      <c r="K6" s="265"/>
      <c r="L6" s="265"/>
    </row>
    <row r="7" spans="1:12" s="149" customFormat="1" ht="26.25" x14ac:dyDescent="0.25">
      <c r="A7" s="260" t="s">
        <v>41</v>
      </c>
      <c r="B7" s="261">
        <v>3044004323</v>
      </c>
      <c r="C7" s="262" t="s">
        <v>886</v>
      </c>
      <c r="D7" s="263"/>
      <c r="E7" s="264"/>
      <c r="F7" s="263">
        <v>125.77</v>
      </c>
      <c r="G7" s="264">
        <v>116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886</v>
      </c>
      <c r="D8" s="263"/>
      <c r="E8" s="264"/>
      <c r="F8" s="263">
        <v>78.099999999999994</v>
      </c>
      <c r="G8" s="264">
        <v>40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766</v>
      </c>
      <c r="D9" s="263"/>
      <c r="E9" s="264"/>
      <c r="F9" s="263">
        <v>393.93</v>
      </c>
      <c r="G9" s="264">
        <v>504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766</v>
      </c>
      <c r="D10" s="263"/>
      <c r="E10" s="264"/>
      <c r="F10" s="263">
        <v>291.3</v>
      </c>
      <c r="G10" s="264">
        <v>356</v>
      </c>
      <c r="H10" s="263"/>
      <c r="I10" s="264"/>
      <c r="J10" s="262" t="s">
        <v>10</v>
      </c>
      <c r="K10" s="265"/>
      <c r="L10" s="265"/>
    </row>
    <row r="11" spans="1:12" s="149" customFormat="1" ht="26.25" x14ac:dyDescent="0.25">
      <c r="A11" s="260" t="s">
        <v>610</v>
      </c>
      <c r="B11" s="261">
        <v>3039618715</v>
      </c>
      <c r="C11" s="271" t="s">
        <v>765</v>
      </c>
      <c r="D11" s="263"/>
      <c r="E11" s="264"/>
      <c r="F11" s="263">
        <v>56.14</v>
      </c>
      <c r="G11" s="264">
        <v>5</v>
      </c>
      <c r="H11" s="263"/>
      <c r="I11" s="264"/>
      <c r="J11" s="262" t="s">
        <v>10</v>
      </c>
      <c r="K11" s="265"/>
      <c r="L11" s="265"/>
    </row>
    <row r="12" spans="1:12" s="149" customFormat="1" ht="26.25" x14ac:dyDescent="0.25">
      <c r="A12" s="260" t="s">
        <v>46</v>
      </c>
      <c r="B12" s="261">
        <v>3023189549</v>
      </c>
      <c r="C12" s="262" t="s">
        <v>766</v>
      </c>
      <c r="D12" s="263"/>
      <c r="E12" s="264"/>
      <c r="F12" s="263">
        <v>52.75</v>
      </c>
      <c r="G12" s="264">
        <v>12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882</v>
      </c>
      <c r="D13" s="263"/>
      <c r="E13" s="264"/>
      <c r="F13" s="263">
        <v>479.92</v>
      </c>
      <c r="G13" s="264">
        <v>628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774</v>
      </c>
      <c r="D14" s="263"/>
      <c r="E14" s="264"/>
      <c r="F14" s="263">
        <v>89.54</v>
      </c>
      <c r="G14" s="264">
        <v>72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880</v>
      </c>
      <c r="D15" s="263"/>
      <c r="E15" s="264"/>
      <c r="F15" s="263">
        <v>438.99</v>
      </c>
      <c r="G15" s="264">
        <v>569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880</v>
      </c>
      <c r="D16" s="263"/>
      <c r="E16" s="264"/>
      <c r="F16" s="263">
        <v>49.29</v>
      </c>
      <c r="G16" s="264">
        <v>37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880</v>
      </c>
      <c r="D17" s="263"/>
      <c r="E17" s="264"/>
      <c r="F17" s="263">
        <v>72.25</v>
      </c>
      <c r="G17" s="264">
        <v>48</v>
      </c>
      <c r="H17" s="263"/>
      <c r="I17" s="264"/>
      <c r="J17" s="262" t="s">
        <v>10</v>
      </c>
      <c r="K17" s="265"/>
      <c r="L17" s="265"/>
    </row>
    <row r="18" spans="1:12" s="533" customFormat="1" x14ac:dyDescent="0.25">
      <c r="A18" s="280" t="s">
        <v>755</v>
      </c>
      <c r="B18" s="281"/>
      <c r="C18" s="247" t="s">
        <v>762</v>
      </c>
      <c r="D18" s="530"/>
      <c r="E18" s="531"/>
      <c r="F18" s="530"/>
      <c r="G18" s="531"/>
      <c r="H18" s="530"/>
      <c r="I18" s="531"/>
      <c r="J18" s="247"/>
      <c r="K18" s="532" t="s">
        <v>758</v>
      </c>
      <c r="L18" s="532" t="s">
        <v>760</v>
      </c>
    </row>
    <row r="19" spans="1:12" s="149" customFormat="1" ht="21" customHeight="1" x14ac:dyDescent="0.25">
      <c r="A19" s="262" t="s">
        <v>756</v>
      </c>
      <c r="B19" s="262">
        <v>274580</v>
      </c>
      <c r="C19" s="262" t="s">
        <v>757</v>
      </c>
      <c r="D19" s="262">
        <v>54.11</v>
      </c>
      <c r="E19" s="264">
        <v>56</v>
      </c>
      <c r="F19" s="262" t="s">
        <v>776</v>
      </c>
      <c r="G19" s="264"/>
      <c r="H19" s="262"/>
      <c r="I19" s="264"/>
      <c r="J19" s="262"/>
      <c r="K19" s="265" t="s">
        <v>759</v>
      </c>
      <c r="L19" s="265">
        <v>5217000077</v>
      </c>
    </row>
    <row r="20" spans="1:12" s="149" customFormat="1" x14ac:dyDescent="0.25">
      <c r="A20" s="262" t="s">
        <v>831</v>
      </c>
      <c r="B20" s="262">
        <v>117936</v>
      </c>
      <c r="C20" s="262" t="s">
        <v>775</v>
      </c>
      <c r="D20" s="262">
        <v>140.91</v>
      </c>
      <c r="E20" s="264">
        <v>480</v>
      </c>
      <c r="F20" s="262" t="s">
        <v>776</v>
      </c>
      <c r="G20" s="264"/>
      <c r="H20" s="262"/>
      <c r="I20" s="264"/>
      <c r="J20" s="262"/>
      <c r="K20" s="265" t="s">
        <v>777</v>
      </c>
      <c r="L20" s="265">
        <v>5216006440</v>
      </c>
    </row>
    <row r="21" spans="1:12" s="149" customFormat="1" x14ac:dyDescent="0.25">
      <c r="A21" s="262" t="s">
        <v>830</v>
      </c>
      <c r="B21" s="262">
        <v>8184322</v>
      </c>
      <c r="C21" s="262" t="s">
        <v>775</v>
      </c>
      <c r="D21" s="262">
        <v>631.57000000000005</v>
      </c>
      <c r="E21" s="264">
        <v>3840</v>
      </c>
      <c r="F21" s="262" t="s">
        <v>776</v>
      </c>
      <c r="G21" s="264"/>
      <c r="H21" s="262"/>
      <c r="I21" s="264"/>
      <c r="J21" s="262"/>
      <c r="K21" s="265" t="s">
        <v>778</v>
      </c>
      <c r="L21" s="265">
        <v>5216006441</v>
      </c>
    </row>
    <row r="22" spans="1:12" s="149" customFormat="1" x14ac:dyDescent="0.25">
      <c r="A22" s="262" t="s">
        <v>855</v>
      </c>
      <c r="B22" s="262">
        <v>8234139</v>
      </c>
      <c r="C22" s="262" t="s">
        <v>775</v>
      </c>
      <c r="D22" s="262">
        <v>83.85</v>
      </c>
      <c r="E22" s="264">
        <v>1086</v>
      </c>
      <c r="F22" s="262" t="s">
        <v>776</v>
      </c>
      <c r="G22" s="264"/>
      <c r="H22" s="262"/>
      <c r="I22" s="264"/>
      <c r="J22" s="262"/>
      <c r="K22" s="265" t="s">
        <v>779</v>
      </c>
      <c r="L22" s="265">
        <v>5216006442</v>
      </c>
    </row>
    <row r="23" spans="1:12" s="149" customFormat="1" x14ac:dyDescent="0.25">
      <c r="A23" s="262" t="s">
        <v>828</v>
      </c>
      <c r="B23" s="262">
        <v>5262911</v>
      </c>
      <c r="C23" s="262" t="s">
        <v>775</v>
      </c>
      <c r="D23" s="262">
        <v>15.36</v>
      </c>
      <c r="E23" s="264">
        <v>70</v>
      </c>
      <c r="F23" s="262" t="s">
        <v>776</v>
      </c>
      <c r="G23" s="264"/>
      <c r="H23" s="262"/>
      <c r="I23" s="264"/>
      <c r="J23" s="262"/>
      <c r="K23" s="265" t="s">
        <v>780</v>
      </c>
      <c r="L23" s="265">
        <v>5216006443</v>
      </c>
    </row>
    <row r="24" spans="1:12" s="149" customFormat="1" x14ac:dyDescent="0.25">
      <c r="A24" s="262" t="s">
        <v>873</v>
      </c>
      <c r="B24" s="262">
        <v>9261200</v>
      </c>
      <c r="C24" s="262" t="s">
        <v>775</v>
      </c>
      <c r="D24" s="262">
        <v>71.22</v>
      </c>
      <c r="E24" s="264">
        <v>871</v>
      </c>
      <c r="F24" s="262" t="s">
        <v>776</v>
      </c>
      <c r="G24" s="264"/>
      <c r="H24" s="262"/>
      <c r="I24" s="264"/>
      <c r="J24" s="262"/>
      <c r="K24" s="265" t="s">
        <v>781</v>
      </c>
      <c r="L24" s="265">
        <v>5216006444</v>
      </c>
    </row>
    <row r="25" spans="1:12" s="526" customFormat="1" ht="12.75" customHeight="1" x14ac:dyDescent="0.25">
      <c r="A25" s="524" t="s">
        <v>827</v>
      </c>
      <c r="B25" s="524">
        <v>4934809</v>
      </c>
      <c r="C25" s="524" t="s">
        <v>775</v>
      </c>
      <c r="D25" s="524">
        <v>5.31</v>
      </c>
      <c r="E25" s="523">
        <v>0</v>
      </c>
      <c r="F25" s="524" t="s">
        <v>776</v>
      </c>
      <c r="G25" s="523"/>
      <c r="H25" s="524"/>
      <c r="I25" s="523"/>
      <c r="J25" s="524"/>
      <c r="K25" s="525" t="s">
        <v>782</v>
      </c>
      <c r="L25" s="525">
        <v>5216006445</v>
      </c>
    </row>
    <row r="26" spans="1:12" s="149" customFormat="1" x14ac:dyDescent="0.25">
      <c r="A26" s="262" t="s">
        <v>838</v>
      </c>
      <c r="B26" s="262">
        <v>8463322</v>
      </c>
      <c r="C26" s="262" t="s">
        <v>775</v>
      </c>
      <c r="D26" s="262">
        <v>3565.1</v>
      </c>
      <c r="E26" s="264">
        <v>65100</v>
      </c>
      <c r="F26" s="262" t="s">
        <v>776</v>
      </c>
      <c r="G26" s="264"/>
      <c r="H26" s="262"/>
      <c r="I26" s="264"/>
      <c r="J26" s="262"/>
      <c r="K26" s="265" t="s">
        <v>783</v>
      </c>
      <c r="L26" s="265">
        <v>5216006446</v>
      </c>
    </row>
    <row r="27" spans="1:12" s="149" customFormat="1" x14ac:dyDescent="0.25">
      <c r="A27" s="262" t="s">
        <v>871</v>
      </c>
      <c r="B27" s="262">
        <v>5027654</v>
      </c>
      <c r="C27" s="262" t="s">
        <v>775</v>
      </c>
      <c r="D27" s="262">
        <v>220.64</v>
      </c>
      <c r="E27" s="264">
        <v>2087</v>
      </c>
      <c r="F27" s="262" t="s">
        <v>776</v>
      </c>
      <c r="G27" s="264"/>
      <c r="H27" s="262"/>
      <c r="I27" s="264"/>
      <c r="J27" s="262"/>
      <c r="K27" s="265" t="s">
        <v>784</v>
      </c>
      <c r="L27" s="265">
        <v>5216006447</v>
      </c>
    </row>
    <row r="28" spans="1:12" s="149" customFormat="1" x14ac:dyDescent="0.25">
      <c r="A28" s="262" t="s">
        <v>854</v>
      </c>
      <c r="B28" s="262">
        <v>5089282</v>
      </c>
      <c r="C28" s="262" t="s">
        <v>775</v>
      </c>
      <c r="D28" s="262">
        <v>52.44</v>
      </c>
      <c r="E28" s="264">
        <v>300</v>
      </c>
      <c r="F28" s="262" t="s">
        <v>776</v>
      </c>
      <c r="G28" s="264"/>
      <c r="H28" s="262"/>
      <c r="I28" s="264"/>
      <c r="J28" s="262"/>
      <c r="K28" s="265" t="s">
        <v>785</v>
      </c>
      <c r="L28" s="265">
        <v>5216006448</v>
      </c>
    </row>
    <row r="29" spans="1:12" s="149" customFormat="1" x14ac:dyDescent="0.25">
      <c r="A29" s="262" t="s">
        <v>853</v>
      </c>
      <c r="B29" s="262">
        <v>9498071</v>
      </c>
      <c r="C29" s="262" t="s">
        <v>775</v>
      </c>
      <c r="D29" s="262">
        <v>145.47999999999999</v>
      </c>
      <c r="E29" s="264">
        <v>1680</v>
      </c>
      <c r="F29" s="262" t="s">
        <v>776</v>
      </c>
      <c r="G29" s="264"/>
      <c r="H29" s="262"/>
      <c r="I29" s="264"/>
      <c r="J29" s="262"/>
      <c r="K29" s="265" t="s">
        <v>786</v>
      </c>
      <c r="L29" s="265">
        <v>5216006449</v>
      </c>
    </row>
    <row r="30" spans="1:12" s="149" customFormat="1" x14ac:dyDescent="0.25">
      <c r="A30" s="262" t="s">
        <v>859</v>
      </c>
      <c r="B30" s="262">
        <v>5028615</v>
      </c>
      <c r="C30" s="262" t="s">
        <v>775</v>
      </c>
      <c r="D30" s="262">
        <v>505.72</v>
      </c>
      <c r="E30" s="264">
        <v>5280</v>
      </c>
      <c r="F30" s="262" t="s">
        <v>776</v>
      </c>
      <c r="G30" s="264"/>
      <c r="H30" s="262"/>
      <c r="I30" s="264"/>
      <c r="J30" s="262"/>
      <c r="K30" s="265" t="s">
        <v>787</v>
      </c>
      <c r="L30" s="265">
        <v>5216006450</v>
      </c>
    </row>
    <row r="31" spans="1:12" s="149" customFormat="1" x14ac:dyDescent="0.25">
      <c r="A31" s="262" t="s">
        <v>849</v>
      </c>
      <c r="B31" s="262">
        <v>7480591</v>
      </c>
      <c r="C31" s="262" t="s">
        <v>775</v>
      </c>
      <c r="D31" s="262">
        <v>746.67</v>
      </c>
      <c r="E31" s="264">
        <v>11888</v>
      </c>
      <c r="F31" s="262" t="s">
        <v>776</v>
      </c>
      <c r="G31" s="264"/>
      <c r="H31" s="262"/>
      <c r="I31" s="264"/>
      <c r="J31" s="262"/>
      <c r="K31" s="265" t="s">
        <v>788</v>
      </c>
      <c r="L31" s="265">
        <v>5216006451</v>
      </c>
    </row>
    <row r="32" spans="1:12" s="149" customFormat="1" x14ac:dyDescent="0.25">
      <c r="A32" s="534" t="s">
        <v>856</v>
      </c>
      <c r="B32" s="262">
        <v>5031405</v>
      </c>
      <c r="C32" s="262" t="s">
        <v>775</v>
      </c>
      <c r="D32" s="262">
        <v>978.42</v>
      </c>
      <c r="E32" s="264">
        <v>11580</v>
      </c>
      <c r="F32" s="262" t="s">
        <v>776</v>
      </c>
      <c r="G32" s="264"/>
      <c r="H32" s="262"/>
      <c r="I32" s="264"/>
      <c r="J32" s="262"/>
      <c r="K32" s="265" t="s">
        <v>789</v>
      </c>
      <c r="L32" s="265">
        <v>5216006452</v>
      </c>
    </row>
    <row r="33" spans="1:12" s="149" customFormat="1" x14ac:dyDescent="0.25">
      <c r="A33" s="262" t="s">
        <v>872</v>
      </c>
      <c r="B33" s="262">
        <v>8934894</v>
      </c>
      <c r="C33" s="262" t="s">
        <v>775</v>
      </c>
      <c r="D33" s="262">
        <v>15.74</v>
      </c>
      <c r="E33" s="264">
        <v>23</v>
      </c>
      <c r="F33" s="262" t="s">
        <v>776</v>
      </c>
      <c r="G33" s="264"/>
      <c r="H33" s="262"/>
      <c r="I33" s="264"/>
      <c r="J33" s="262"/>
      <c r="K33" s="265" t="s">
        <v>790</v>
      </c>
      <c r="L33" s="265">
        <v>5216006453</v>
      </c>
    </row>
    <row r="34" spans="1:12" s="149" customFormat="1" x14ac:dyDescent="0.25">
      <c r="A34" s="262" t="s">
        <v>858</v>
      </c>
      <c r="B34" s="262">
        <v>5231911</v>
      </c>
      <c r="C34" s="262" t="s">
        <v>775</v>
      </c>
      <c r="D34" s="262">
        <v>21.35</v>
      </c>
      <c r="E34" s="264">
        <v>150</v>
      </c>
      <c r="F34" s="262" t="s">
        <v>776</v>
      </c>
      <c r="G34" s="264"/>
      <c r="H34" s="262"/>
      <c r="I34" s="264"/>
      <c r="J34" s="262"/>
      <c r="K34" s="265" t="s">
        <v>791</v>
      </c>
      <c r="L34" s="265">
        <v>5216006454</v>
      </c>
    </row>
    <row r="35" spans="1:12" s="149" customFormat="1" x14ac:dyDescent="0.25">
      <c r="A35" s="262" t="s">
        <v>857</v>
      </c>
      <c r="B35" s="262">
        <v>5276024</v>
      </c>
      <c r="C35" s="262" t="s">
        <v>775</v>
      </c>
      <c r="D35" s="262">
        <v>21.34</v>
      </c>
      <c r="E35" s="264">
        <v>150</v>
      </c>
      <c r="F35" s="262" t="s">
        <v>776</v>
      </c>
      <c r="G35" s="264"/>
      <c r="H35" s="262"/>
      <c r="I35" s="264"/>
      <c r="J35" s="262"/>
      <c r="K35" s="265" t="s">
        <v>792</v>
      </c>
      <c r="L35" s="265">
        <v>5216006455</v>
      </c>
    </row>
    <row r="36" spans="1:12" s="149" customFormat="1" x14ac:dyDescent="0.25">
      <c r="A36" s="262" t="s">
        <v>870</v>
      </c>
      <c r="B36" s="262">
        <v>5036644</v>
      </c>
      <c r="C36" s="262" t="s">
        <v>775</v>
      </c>
      <c r="D36" s="262">
        <v>159.18</v>
      </c>
      <c r="E36" s="264">
        <v>265</v>
      </c>
      <c r="F36" s="262" t="s">
        <v>776</v>
      </c>
      <c r="G36" s="264"/>
      <c r="H36" s="262"/>
      <c r="I36" s="264"/>
      <c r="J36" s="262"/>
      <c r="K36" s="265" t="s">
        <v>793</v>
      </c>
      <c r="L36" s="265">
        <v>5216006456</v>
      </c>
    </row>
    <row r="37" spans="1:12" s="149" customFormat="1" x14ac:dyDescent="0.25">
      <c r="A37" s="262" t="s">
        <v>851</v>
      </c>
      <c r="B37" s="262">
        <v>5037326</v>
      </c>
      <c r="C37" s="262" t="s">
        <v>775</v>
      </c>
      <c r="D37" s="262">
        <v>26.26</v>
      </c>
      <c r="E37" s="264">
        <v>188</v>
      </c>
      <c r="F37" s="262" t="s">
        <v>776</v>
      </c>
      <c r="G37" s="264"/>
      <c r="H37" s="262"/>
      <c r="I37" s="264"/>
      <c r="J37" s="262"/>
      <c r="K37" s="265" t="s">
        <v>794</v>
      </c>
      <c r="L37" s="265">
        <v>5216006457</v>
      </c>
    </row>
    <row r="38" spans="1:12" s="149" customFormat="1" x14ac:dyDescent="0.25">
      <c r="A38" s="262" t="s">
        <v>829</v>
      </c>
      <c r="B38" s="262">
        <v>5105092</v>
      </c>
      <c r="C38" s="262" t="s">
        <v>775</v>
      </c>
      <c r="D38" s="262">
        <v>297.44</v>
      </c>
      <c r="E38" s="264">
        <v>3973</v>
      </c>
      <c r="F38" s="262" t="s">
        <v>776</v>
      </c>
      <c r="G38" s="264"/>
      <c r="H38" s="262"/>
      <c r="I38" s="264"/>
      <c r="J38" s="262"/>
      <c r="K38" s="265" t="s">
        <v>795</v>
      </c>
      <c r="L38" s="265">
        <v>5216006458</v>
      </c>
    </row>
    <row r="39" spans="1:12" s="149" customFormat="1" x14ac:dyDescent="0.25">
      <c r="A39" s="262" t="s">
        <v>850</v>
      </c>
      <c r="B39" s="262">
        <v>8327232</v>
      </c>
      <c r="C39" s="262" t="s">
        <v>775</v>
      </c>
      <c r="D39" s="262">
        <v>37.92</v>
      </c>
      <c r="E39" s="264">
        <v>0</v>
      </c>
      <c r="F39" s="262" t="s">
        <v>776</v>
      </c>
      <c r="G39" s="264"/>
      <c r="H39" s="262"/>
      <c r="I39" s="264"/>
      <c r="J39" s="262"/>
      <c r="K39" s="265" t="s">
        <v>796</v>
      </c>
      <c r="L39" s="265">
        <v>5216006459</v>
      </c>
    </row>
    <row r="40" spans="1:12" s="149" customFormat="1" x14ac:dyDescent="0.25">
      <c r="A40" s="262" t="s">
        <v>848</v>
      </c>
      <c r="B40" s="262">
        <v>4964784</v>
      </c>
      <c r="C40" s="262" t="s">
        <v>775</v>
      </c>
      <c r="D40" s="262">
        <v>22.14</v>
      </c>
      <c r="E40" s="264">
        <v>150</v>
      </c>
      <c r="F40" s="262" t="s">
        <v>776</v>
      </c>
      <c r="G40" s="264"/>
      <c r="H40" s="262"/>
      <c r="I40" s="264"/>
      <c r="J40" s="262"/>
      <c r="K40" s="265" t="s">
        <v>797</v>
      </c>
      <c r="L40" s="265">
        <v>5216006460</v>
      </c>
    </row>
    <row r="41" spans="1:12" s="149" customFormat="1" x14ac:dyDescent="0.25">
      <c r="A41" s="262" t="s">
        <v>874</v>
      </c>
      <c r="B41" s="262">
        <v>4968878</v>
      </c>
      <c r="C41" s="262" t="s">
        <v>775</v>
      </c>
      <c r="D41" s="262">
        <v>117.6</v>
      </c>
      <c r="E41" s="264">
        <v>1619</v>
      </c>
      <c r="F41" s="262" t="s">
        <v>776</v>
      </c>
      <c r="G41" s="264"/>
      <c r="H41" s="262"/>
      <c r="I41" s="264"/>
      <c r="J41" s="262"/>
      <c r="K41" s="265" t="s">
        <v>798</v>
      </c>
      <c r="L41" s="265">
        <v>5216006461</v>
      </c>
    </row>
    <row r="42" spans="1:12" s="149" customFormat="1" x14ac:dyDescent="0.25">
      <c r="A42" s="262" t="s">
        <v>847</v>
      </c>
      <c r="B42" s="262">
        <v>5074495</v>
      </c>
      <c r="C42" s="262" t="s">
        <v>775</v>
      </c>
      <c r="D42" s="262">
        <v>11.19</v>
      </c>
      <c r="E42" s="264">
        <v>0</v>
      </c>
      <c r="F42" s="262" t="s">
        <v>776</v>
      </c>
      <c r="G42" s="264"/>
      <c r="H42" s="262"/>
      <c r="I42" s="264"/>
      <c r="J42" s="262"/>
      <c r="K42" s="265" t="s">
        <v>799</v>
      </c>
      <c r="L42" s="265">
        <v>5216006462</v>
      </c>
    </row>
    <row r="43" spans="1:12" s="359" customFormat="1" x14ac:dyDescent="0.25">
      <c r="A43" s="355" t="s">
        <v>875</v>
      </c>
      <c r="B43" s="355">
        <v>6973803</v>
      </c>
      <c r="C43" s="355" t="s">
        <v>775</v>
      </c>
      <c r="D43" s="355">
        <v>18.39</v>
      </c>
      <c r="E43" s="357">
        <v>64</v>
      </c>
      <c r="F43" s="355" t="s">
        <v>776</v>
      </c>
      <c r="G43" s="357"/>
      <c r="H43" s="355"/>
      <c r="I43" s="357"/>
      <c r="J43" s="355"/>
      <c r="K43" s="358" t="s">
        <v>800</v>
      </c>
      <c r="L43" s="358">
        <v>5216006463</v>
      </c>
    </row>
    <row r="44" spans="1:12" s="149" customFormat="1" x14ac:dyDescent="0.25">
      <c r="A44" s="262" t="s">
        <v>836</v>
      </c>
      <c r="B44" s="262">
        <v>5265019</v>
      </c>
      <c r="C44" s="262" t="s">
        <v>775</v>
      </c>
      <c r="D44" s="262">
        <v>15.36</v>
      </c>
      <c r="E44" s="264">
        <v>70</v>
      </c>
      <c r="F44" s="262" t="s">
        <v>776</v>
      </c>
      <c r="G44" s="264"/>
      <c r="H44" s="262"/>
      <c r="I44" s="264"/>
      <c r="J44" s="262"/>
      <c r="K44" s="265" t="s">
        <v>801</v>
      </c>
      <c r="L44" s="265">
        <v>5216006464</v>
      </c>
    </row>
    <row r="45" spans="1:12" s="149" customFormat="1" x14ac:dyDescent="0.25">
      <c r="A45" s="262" t="s">
        <v>837</v>
      </c>
      <c r="B45" s="262">
        <v>149091</v>
      </c>
      <c r="C45" s="262" t="s">
        <v>775</v>
      </c>
      <c r="D45" s="262">
        <v>18.420000000000002</v>
      </c>
      <c r="E45" s="264">
        <v>80</v>
      </c>
      <c r="F45" s="262" t="s">
        <v>776</v>
      </c>
      <c r="G45" s="264"/>
      <c r="H45" s="262"/>
      <c r="I45" s="264"/>
      <c r="J45" s="262"/>
      <c r="K45" s="265" t="s">
        <v>802</v>
      </c>
      <c r="L45" s="265">
        <v>5216006465</v>
      </c>
    </row>
    <row r="46" spans="1:12" s="149" customFormat="1" x14ac:dyDescent="0.25">
      <c r="A46" s="262" t="s">
        <v>869</v>
      </c>
      <c r="B46" s="262">
        <v>7010755</v>
      </c>
      <c r="C46" s="262" t="s">
        <v>775</v>
      </c>
      <c r="D46" s="262">
        <v>14.29</v>
      </c>
      <c r="E46" s="264">
        <v>0</v>
      </c>
      <c r="F46" s="262" t="s">
        <v>776</v>
      </c>
      <c r="G46" s="264"/>
      <c r="H46" s="262"/>
      <c r="I46" s="264"/>
      <c r="J46" s="262"/>
      <c r="K46" s="265" t="s">
        <v>803</v>
      </c>
      <c r="L46" s="265">
        <v>5216006466</v>
      </c>
    </row>
    <row r="47" spans="1:12" s="149" customFormat="1" x14ac:dyDescent="0.25">
      <c r="A47" s="262" t="s">
        <v>868</v>
      </c>
      <c r="B47" s="262">
        <v>6722734</v>
      </c>
      <c r="C47" s="262" t="s">
        <v>775</v>
      </c>
      <c r="D47" s="262">
        <v>211.55</v>
      </c>
      <c r="E47" s="264">
        <v>1296</v>
      </c>
      <c r="F47" s="262" t="s">
        <v>776</v>
      </c>
      <c r="G47" s="264"/>
      <c r="H47" s="262"/>
      <c r="I47" s="264"/>
      <c r="J47" s="262"/>
      <c r="K47" s="265" t="s">
        <v>804</v>
      </c>
      <c r="L47" s="265">
        <v>5216006467</v>
      </c>
    </row>
    <row r="48" spans="1:12" s="149" customFormat="1" x14ac:dyDescent="0.25">
      <c r="A48" s="262" t="s">
        <v>832</v>
      </c>
      <c r="B48" s="262">
        <v>4426036</v>
      </c>
      <c r="C48" s="262" t="s">
        <v>775</v>
      </c>
      <c r="D48" s="262">
        <v>321.2</v>
      </c>
      <c r="E48" s="264">
        <v>1950</v>
      </c>
      <c r="F48" s="262" t="s">
        <v>776</v>
      </c>
      <c r="G48" s="264"/>
      <c r="H48" s="262"/>
      <c r="I48" s="264"/>
      <c r="J48" s="262"/>
      <c r="K48" s="265" t="s">
        <v>805</v>
      </c>
      <c r="L48" s="265">
        <v>5216006468</v>
      </c>
    </row>
    <row r="49" spans="1:12" s="149" customFormat="1" ht="24.75" customHeight="1" x14ac:dyDescent="0.25">
      <c r="A49" s="535" t="s">
        <v>834</v>
      </c>
      <c r="B49" s="262">
        <v>4912148</v>
      </c>
      <c r="C49" s="262" t="s">
        <v>775</v>
      </c>
      <c r="D49" s="262">
        <v>274.57</v>
      </c>
      <c r="E49" s="264">
        <v>1190</v>
      </c>
      <c r="F49" s="262" t="s">
        <v>776</v>
      </c>
      <c r="G49" s="264"/>
      <c r="H49" s="262"/>
      <c r="I49" s="264"/>
      <c r="J49" s="262"/>
      <c r="K49" s="265" t="s">
        <v>806</v>
      </c>
      <c r="L49" s="265">
        <v>5216006469</v>
      </c>
    </row>
    <row r="50" spans="1:12" s="149" customFormat="1" x14ac:dyDescent="0.25">
      <c r="A50" s="262" t="s">
        <v>833</v>
      </c>
      <c r="B50" s="262">
        <v>4912148</v>
      </c>
      <c r="C50" s="262" t="s">
        <v>775</v>
      </c>
      <c r="D50" s="262">
        <v>274.57</v>
      </c>
      <c r="E50" s="264">
        <v>1190</v>
      </c>
      <c r="F50" s="262" t="s">
        <v>776</v>
      </c>
      <c r="G50" s="264"/>
      <c r="H50" s="262"/>
      <c r="I50" s="264"/>
      <c r="J50" s="262"/>
      <c r="K50" s="265" t="s">
        <v>806</v>
      </c>
      <c r="L50" s="265">
        <v>5216006469</v>
      </c>
    </row>
    <row r="51" spans="1:12" s="149" customFormat="1" x14ac:dyDescent="0.25">
      <c r="A51" s="262" t="s">
        <v>835</v>
      </c>
      <c r="B51" s="262">
        <v>4914473</v>
      </c>
      <c r="C51" s="262" t="s">
        <v>775</v>
      </c>
      <c r="D51" s="262">
        <v>1043.77</v>
      </c>
      <c r="E51" s="264">
        <v>11820</v>
      </c>
      <c r="F51" s="262" t="s">
        <v>776</v>
      </c>
      <c r="G51" s="264"/>
      <c r="H51" s="262"/>
      <c r="I51" s="264"/>
      <c r="J51" s="262"/>
      <c r="K51" s="265" t="s">
        <v>807</v>
      </c>
      <c r="L51" s="265">
        <v>5216006470</v>
      </c>
    </row>
    <row r="52" spans="1:12" s="149" customFormat="1" x14ac:dyDescent="0.25">
      <c r="A52" s="262" t="s">
        <v>852</v>
      </c>
      <c r="B52" s="262">
        <v>5020429</v>
      </c>
      <c r="C52" s="262" t="s">
        <v>775</v>
      </c>
      <c r="D52" s="262">
        <v>22.14</v>
      </c>
      <c r="E52" s="264">
        <v>150</v>
      </c>
      <c r="F52" s="262" t="s">
        <v>776</v>
      </c>
      <c r="G52" s="264"/>
      <c r="H52" s="262"/>
      <c r="I52" s="264"/>
      <c r="J52" s="262"/>
      <c r="K52" s="265" t="s">
        <v>808</v>
      </c>
      <c r="L52" s="265">
        <v>5216006471</v>
      </c>
    </row>
    <row r="53" spans="1:12" s="149" customFormat="1" x14ac:dyDescent="0.25">
      <c r="A53" s="262" t="s">
        <v>867</v>
      </c>
      <c r="B53" s="262">
        <v>4962800</v>
      </c>
      <c r="C53" s="262" t="s">
        <v>775</v>
      </c>
      <c r="D53" s="262">
        <v>26.71</v>
      </c>
      <c r="E53" s="264">
        <v>160</v>
      </c>
      <c r="F53" s="262" t="s">
        <v>776</v>
      </c>
      <c r="G53" s="264"/>
      <c r="H53" s="262"/>
      <c r="I53" s="264"/>
      <c r="J53" s="262"/>
      <c r="K53" s="265" t="s">
        <v>809</v>
      </c>
      <c r="L53" s="265">
        <v>5216006472</v>
      </c>
    </row>
    <row r="54" spans="1:12" s="149" customFormat="1" x14ac:dyDescent="0.25">
      <c r="A54" s="262" t="s">
        <v>840</v>
      </c>
      <c r="B54" s="262">
        <v>4892432</v>
      </c>
      <c r="C54" s="262" t="s">
        <v>775</v>
      </c>
      <c r="D54" s="262">
        <v>124.87</v>
      </c>
      <c r="E54" s="264">
        <v>1508</v>
      </c>
      <c r="F54" s="262" t="s">
        <v>776</v>
      </c>
      <c r="G54" s="264"/>
      <c r="H54" s="262"/>
      <c r="I54" s="264"/>
      <c r="J54" s="262"/>
      <c r="K54" s="265" t="s">
        <v>810</v>
      </c>
      <c r="L54" s="265">
        <v>5216006473</v>
      </c>
    </row>
    <row r="55" spans="1:12" s="149" customFormat="1" x14ac:dyDescent="0.25">
      <c r="A55" s="262" t="s">
        <v>839</v>
      </c>
      <c r="B55" s="262">
        <v>5021826</v>
      </c>
      <c r="C55" s="262" t="s">
        <v>775</v>
      </c>
      <c r="D55" s="262">
        <v>72.87</v>
      </c>
      <c r="E55" s="264">
        <v>920</v>
      </c>
      <c r="F55" s="262" t="s">
        <v>776</v>
      </c>
      <c r="G55" s="264"/>
      <c r="H55" s="262"/>
      <c r="I55" s="264"/>
      <c r="J55" s="262"/>
      <c r="K55" s="265" t="s">
        <v>811</v>
      </c>
      <c r="L55" s="265">
        <v>5216006474</v>
      </c>
    </row>
    <row r="56" spans="1:12" s="149" customFormat="1" x14ac:dyDescent="0.25">
      <c r="A56" s="262" t="s">
        <v>841</v>
      </c>
      <c r="B56" s="262">
        <v>5265050</v>
      </c>
      <c r="C56" s="262" t="s">
        <v>775</v>
      </c>
      <c r="D56" s="262">
        <v>21.35</v>
      </c>
      <c r="E56" s="264">
        <v>150</v>
      </c>
      <c r="F56" s="262" t="s">
        <v>776</v>
      </c>
      <c r="G56" s="264"/>
      <c r="H56" s="262"/>
      <c r="I56" s="264"/>
      <c r="J56" s="262"/>
      <c r="K56" s="265" t="s">
        <v>812</v>
      </c>
      <c r="L56" s="265">
        <v>5216006475</v>
      </c>
    </row>
    <row r="57" spans="1:12" s="149" customFormat="1" x14ac:dyDescent="0.25">
      <c r="A57" s="262" t="s">
        <v>846</v>
      </c>
      <c r="B57" s="262">
        <v>5074402</v>
      </c>
      <c r="C57" s="262" t="s">
        <v>775</v>
      </c>
      <c r="D57" s="262">
        <v>10.57</v>
      </c>
      <c r="E57" s="264">
        <v>0</v>
      </c>
      <c r="F57" s="262" t="s">
        <v>776</v>
      </c>
      <c r="G57" s="264"/>
      <c r="H57" s="262"/>
      <c r="I57" s="264"/>
      <c r="J57" s="262"/>
      <c r="K57" s="265" t="s">
        <v>813</v>
      </c>
      <c r="L57" s="265">
        <v>5216006476</v>
      </c>
    </row>
    <row r="58" spans="1:12" s="149" customFormat="1" x14ac:dyDescent="0.25">
      <c r="A58" s="262" t="s">
        <v>845</v>
      </c>
      <c r="B58" s="262">
        <v>710315</v>
      </c>
      <c r="C58" s="262" t="s">
        <v>775</v>
      </c>
      <c r="D58" s="262">
        <v>17.690000000000001</v>
      </c>
      <c r="E58" s="264">
        <v>53</v>
      </c>
      <c r="F58" s="262" t="s">
        <v>776</v>
      </c>
      <c r="G58" s="264"/>
      <c r="H58" s="262"/>
      <c r="I58" s="264"/>
      <c r="J58" s="262"/>
      <c r="K58" s="265" t="s">
        <v>814</v>
      </c>
      <c r="L58" s="265">
        <v>5216006477</v>
      </c>
    </row>
    <row r="59" spans="1:12" s="149" customFormat="1" x14ac:dyDescent="0.25">
      <c r="A59" s="262" t="s">
        <v>866</v>
      </c>
      <c r="B59" s="262">
        <v>5145888</v>
      </c>
      <c r="C59" s="262" t="s">
        <v>775</v>
      </c>
      <c r="D59" s="262">
        <v>93.94</v>
      </c>
      <c r="E59" s="264">
        <v>1248</v>
      </c>
      <c r="F59" s="262" t="s">
        <v>776</v>
      </c>
      <c r="G59" s="264"/>
      <c r="H59" s="262"/>
      <c r="I59" s="264"/>
      <c r="J59" s="262"/>
      <c r="K59" s="265" t="s">
        <v>815</v>
      </c>
      <c r="L59" s="265">
        <v>5216006478</v>
      </c>
    </row>
    <row r="60" spans="1:12" s="149" customFormat="1" x14ac:dyDescent="0.25">
      <c r="A60" s="262" t="s">
        <v>844</v>
      </c>
      <c r="B60" s="262">
        <v>5264802</v>
      </c>
      <c r="C60" s="262" t="s">
        <v>775</v>
      </c>
      <c r="D60" s="262">
        <v>105.93</v>
      </c>
      <c r="E60" s="264">
        <v>770</v>
      </c>
      <c r="F60" s="262" t="s">
        <v>776</v>
      </c>
      <c r="G60" s="264"/>
      <c r="H60" s="262"/>
      <c r="I60" s="264"/>
      <c r="J60" s="262"/>
      <c r="K60" s="265" t="s">
        <v>816</v>
      </c>
      <c r="L60" s="265">
        <v>5216006479</v>
      </c>
    </row>
    <row r="61" spans="1:12" s="359" customFormat="1" x14ac:dyDescent="0.25">
      <c r="A61" s="355" t="s">
        <v>876</v>
      </c>
      <c r="B61" s="355">
        <v>4955887</v>
      </c>
      <c r="C61" s="355" t="s">
        <v>775</v>
      </c>
      <c r="D61" s="355">
        <v>24.44</v>
      </c>
      <c r="E61" s="357">
        <v>140</v>
      </c>
      <c r="F61" s="355" t="s">
        <v>776</v>
      </c>
      <c r="G61" s="357"/>
      <c r="H61" s="355"/>
      <c r="I61" s="357"/>
      <c r="J61" s="355"/>
      <c r="K61" s="358" t="s">
        <v>817</v>
      </c>
      <c r="L61" s="358">
        <v>5216006480</v>
      </c>
    </row>
    <row r="62" spans="1:12" s="149" customFormat="1" x14ac:dyDescent="0.25">
      <c r="A62" s="262" t="s">
        <v>877</v>
      </c>
      <c r="B62" s="262">
        <v>5064854</v>
      </c>
      <c r="C62" s="262" t="s">
        <v>775</v>
      </c>
      <c r="D62" s="262">
        <v>609.97</v>
      </c>
      <c r="E62" s="264">
        <v>8280</v>
      </c>
      <c r="F62" s="262" t="s">
        <v>776</v>
      </c>
      <c r="G62" s="264"/>
      <c r="H62" s="262"/>
      <c r="I62" s="264"/>
      <c r="J62" s="262"/>
      <c r="K62" s="265" t="s">
        <v>818</v>
      </c>
      <c r="L62" s="265">
        <v>5216006481</v>
      </c>
    </row>
    <row r="63" spans="1:12" s="149" customFormat="1" x14ac:dyDescent="0.25">
      <c r="A63" s="262" t="s">
        <v>865</v>
      </c>
      <c r="B63" s="262">
        <v>4932391</v>
      </c>
      <c r="C63" s="262" t="s">
        <v>775</v>
      </c>
      <c r="D63" s="262">
        <v>206.74</v>
      </c>
      <c r="E63" s="264">
        <v>1958</v>
      </c>
      <c r="F63" s="262" t="s">
        <v>776</v>
      </c>
      <c r="G63" s="264"/>
      <c r="H63" s="262"/>
      <c r="I63" s="264"/>
      <c r="J63" s="262"/>
      <c r="K63" s="265" t="s">
        <v>819</v>
      </c>
      <c r="L63" s="265">
        <v>5216006482</v>
      </c>
    </row>
    <row r="64" spans="1:12" s="149" customFormat="1" x14ac:dyDescent="0.25">
      <c r="A64" s="262" t="s">
        <v>860</v>
      </c>
      <c r="B64" s="262">
        <v>5041139</v>
      </c>
      <c r="C64" s="262" t="s">
        <v>775</v>
      </c>
      <c r="D64" s="262">
        <v>24.94</v>
      </c>
      <c r="E64" s="264">
        <v>167</v>
      </c>
      <c r="F64" s="262" t="s">
        <v>776</v>
      </c>
      <c r="G64" s="264"/>
      <c r="H64" s="262"/>
      <c r="I64" s="264"/>
      <c r="J64" s="262"/>
      <c r="K64" s="265" t="s">
        <v>820</v>
      </c>
      <c r="L64" s="265">
        <v>5216006483</v>
      </c>
    </row>
    <row r="65" spans="1:12" s="149" customFormat="1" x14ac:dyDescent="0.25">
      <c r="A65" s="262" t="s">
        <v>864</v>
      </c>
      <c r="B65" s="262">
        <v>5037202</v>
      </c>
      <c r="C65" s="262" t="s">
        <v>775</v>
      </c>
      <c r="D65" s="262">
        <v>132.88</v>
      </c>
      <c r="E65" s="264">
        <v>1863</v>
      </c>
      <c r="F65" s="262" t="s">
        <v>776</v>
      </c>
      <c r="G65" s="264"/>
      <c r="H65" s="262"/>
      <c r="I65" s="264"/>
      <c r="J65" s="262"/>
      <c r="K65" s="265" t="s">
        <v>821</v>
      </c>
      <c r="L65" s="265">
        <v>5216006484</v>
      </c>
    </row>
    <row r="66" spans="1:12" s="149" customFormat="1" x14ac:dyDescent="0.25">
      <c r="A66" s="262" t="s">
        <v>861</v>
      </c>
      <c r="B66" s="262">
        <v>4914628</v>
      </c>
      <c r="C66" s="262" t="s">
        <v>775</v>
      </c>
      <c r="D66" s="262">
        <v>318.95999999999998</v>
      </c>
      <c r="E66" s="264">
        <v>3146</v>
      </c>
      <c r="F66" s="262" t="s">
        <v>776</v>
      </c>
      <c r="G66" s="264"/>
      <c r="H66" s="262"/>
      <c r="I66" s="264"/>
      <c r="J66" s="262"/>
      <c r="K66" s="265" t="s">
        <v>822</v>
      </c>
      <c r="L66" s="265">
        <v>5216006485</v>
      </c>
    </row>
    <row r="67" spans="1:12" s="149" customFormat="1" x14ac:dyDescent="0.25">
      <c r="A67" s="262" t="s">
        <v>863</v>
      </c>
      <c r="B67" s="262">
        <v>5264554</v>
      </c>
      <c r="C67" s="262" t="s">
        <v>775</v>
      </c>
      <c r="D67" s="262">
        <v>24.42</v>
      </c>
      <c r="E67" s="264">
        <v>140</v>
      </c>
      <c r="F67" s="262" t="s">
        <v>776</v>
      </c>
      <c r="G67" s="264"/>
      <c r="H67" s="262"/>
      <c r="I67" s="264"/>
      <c r="J67" s="262"/>
      <c r="K67" s="265" t="s">
        <v>823</v>
      </c>
      <c r="L67" s="265">
        <v>5216006486</v>
      </c>
    </row>
    <row r="68" spans="1:12" s="149" customFormat="1" x14ac:dyDescent="0.25">
      <c r="A68" s="262" t="s">
        <v>862</v>
      </c>
      <c r="B68" s="262">
        <v>4426005</v>
      </c>
      <c r="C68" s="262" t="s">
        <v>775</v>
      </c>
      <c r="D68" s="262">
        <v>1090.54</v>
      </c>
      <c r="E68" s="264">
        <v>10350</v>
      </c>
      <c r="F68" s="262" t="s">
        <v>776</v>
      </c>
      <c r="G68" s="264"/>
      <c r="H68" s="262"/>
      <c r="I68" s="264"/>
      <c r="J68" s="262"/>
      <c r="K68" s="265" t="s">
        <v>824</v>
      </c>
      <c r="L68" s="265">
        <v>5216006487</v>
      </c>
    </row>
    <row r="69" spans="1:12" s="149" customFormat="1" x14ac:dyDescent="0.25">
      <c r="A69" s="262" t="s">
        <v>843</v>
      </c>
      <c r="B69" s="262">
        <v>8239130</v>
      </c>
      <c r="C69" s="262" t="s">
        <v>775</v>
      </c>
      <c r="D69" s="262">
        <v>20.49</v>
      </c>
      <c r="E69" s="264">
        <v>97</v>
      </c>
      <c r="F69" s="262" t="s">
        <v>776</v>
      </c>
      <c r="G69" s="264"/>
      <c r="H69" s="262"/>
      <c r="I69" s="264"/>
      <c r="J69" s="262"/>
      <c r="K69" s="265" t="s">
        <v>825</v>
      </c>
      <c r="L69" s="265">
        <v>5216006488</v>
      </c>
    </row>
    <row r="70" spans="1:12" s="149" customFormat="1" x14ac:dyDescent="0.25">
      <c r="A70" s="262" t="s">
        <v>842</v>
      </c>
      <c r="B70" s="262">
        <v>5089344</v>
      </c>
      <c r="C70" s="262" t="s">
        <v>775</v>
      </c>
      <c r="D70" s="262">
        <v>26.19</v>
      </c>
      <c r="E70" s="264">
        <v>186</v>
      </c>
      <c r="F70" s="262" t="s">
        <v>776</v>
      </c>
      <c r="G70" s="264"/>
      <c r="H70" s="262"/>
      <c r="I70" s="264"/>
      <c r="J70" s="262"/>
      <c r="K70" s="265" t="s">
        <v>826</v>
      </c>
      <c r="L70" s="265">
        <v>5216006489</v>
      </c>
    </row>
    <row r="71" spans="1:12" s="199" customFormat="1" ht="26.25" x14ac:dyDescent="0.25">
      <c r="A71" s="280" t="s">
        <v>878</v>
      </c>
      <c r="B71" s="281"/>
      <c r="C71" s="249"/>
      <c r="D71" s="250"/>
      <c r="E71" s="251"/>
      <c r="F71" s="249"/>
      <c r="G71" s="251"/>
      <c r="H71" s="250"/>
      <c r="I71" s="251"/>
      <c r="J71" s="249"/>
      <c r="K71" s="253"/>
      <c r="L71" s="253"/>
    </row>
    <row r="72" spans="1:12" s="149" customFormat="1" ht="26.25" x14ac:dyDescent="0.25">
      <c r="A72" s="260" t="s">
        <v>51</v>
      </c>
      <c r="B72" s="261" t="s">
        <v>208</v>
      </c>
      <c r="C72" s="266" t="s">
        <v>767</v>
      </c>
      <c r="D72" s="263">
        <v>187</v>
      </c>
      <c r="E72" s="264">
        <v>1574</v>
      </c>
      <c r="F72" s="262"/>
      <c r="G72" s="264"/>
      <c r="H72" s="263"/>
      <c r="I72" s="264"/>
      <c r="J72" s="262" t="s">
        <v>33</v>
      </c>
      <c r="K72" s="265"/>
      <c r="L72" s="265"/>
    </row>
    <row r="73" spans="1:12" s="149" customFormat="1" ht="26.25" x14ac:dyDescent="0.25">
      <c r="A73" s="260" t="s">
        <v>52</v>
      </c>
      <c r="B73" s="261" t="s">
        <v>209</v>
      </c>
      <c r="C73" s="266" t="s">
        <v>767</v>
      </c>
      <c r="D73" s="263">
        <v>172</v>
      </c>
      <c r="E73" s="264">
        <v>1220</v>
      </c>
      <c r="F73" s="262"/>
      <c r="G73" s="264"/>
      <c r="H73" s="263"/>
      <c r="I73" s="264"/>
      <c r="J73" s="262" t="s">
        <v>33</v>
      </c>
      <c r="K73" s="265"/>
      <c r="L73" s="265"/>
    </row>
    <row r="74" spans="1:12" s="149" customFormat="1" ht="26.25" x14ac:dyDescent="0.25">
      <c r="A74" s="260" t="s">
        <v>54</v>
      </c>
      <c r="B74" s="261">
        <v>7039100</v>
      </c>
      <c r="C74" s="266" t="s">
        <v>767</v>
      </c>
      <c r="D74" s="263">
        <v>103</v>
      </c>
      <c r="E74" s="264">
        <v>525</v>
      </c>
      <c r="F74" s="262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55</v>
      </c>
      <c r="B75" s="261" t="s">
        <v>212</v>
      </c>
      <c r="C75" s="266" t="s">
        <v>767</v>
      </c>
      <c r="D75" s="263">
        <v>43</v>
      </c>
      <c r="E75" s="264">
        <v>121</v>
      </c>
      <c r="F75" s="262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56</v>
      </c>
      <c r="B76" s="261" t="s">
        <v>213</v>
      </c>
      <c r="C76" s="266" t="s">
        <v>767</v>
      </c>
      <c r="D76" s="263">
        <v>38</v>
      </c>
      <c r="E76" s="264">
        <v>71</v>
      </c>
      <c r="F76" s="262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57</v>
      </c>
      <c r="B77" s="261" t="s">
        <v>214</v>
      </c>
      <c r="C77" s="266" t="s">
        <v>767</v>
      </c>
      <c r="D77" s="263">
        <v>317</v>
      </c>
      <c r="E77" s="264">
        <v>2686</v>
      </c>
      <c r="F77" s="262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58</v>
      </c>
      <c r="B78" s="261" t="s">
        <v>215</v>
      </c>
      <c r="C78" s="266" t="s">
        <v>767</v>
      </c>
      <c r="D78" s="263">
        <v>212</v>
      </c>
      <c r="E78" s="264">
        <v>1911</v>
      </c>
      <c r="F78" s="26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770</v>
      </c>
      <c r="B79" s="261" t="s">
        <v>216</v>
      </c>
      <c r="C79" s="266" t="s">
        <v>767</v>
      </c>
      <c r="D79" s="263">
        <v>56</v>
      </c>
      <c r="E79" s="264">
        <v>256</v>
      </c>
      <c r="F79" s="26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60</v>
      </c>
      <c r="B80" s="261" t="s">
        <v>217</v>
      </c>
      <c r="C80" s="266" t="s">
        <v>767</v>
      </c>
      <c r="D80" s="263">
        <v>57</v>
      </c>
      <c r="E80" s="264">
        <v>69</v>
      </c>
      <c r="F80" s="26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61</v>
      </c>
      <c r="B81" s="261" t="s">
        <v>218</v>
      </c>
      <c r="C81" s="266" t="s">
        <v>767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62</v>
      </c>
      <c r="B82" s="261" t="s">
        <v>219</v>
      </c>
      <c r="C82" s="266" t="s">
        <v>767</v>
      </c>
      <c r="D82" s="263">
        <v>34</v>
      </c>
      <c r="E82" s="264">
        <v>35</v>
      </c>
      <c r="F82" s="26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771</v>
      </c>
      <c r="B83" s="261">
        <v>1402294701</v>
      </c>
      <c r="C83" s="266" t="s">
        <v>767</v>
      </c>
      <c r="D83" s="263">
        <v>143.33000000000001</v>
      </c>
      <c r="E83" s="264">
        <v>504</v>
      </c>
      <c r="F83" s="263"/>
      <c r="G83" s="264"/>
      <c r="H83" s="263"/>
      <c r="I83" s="264"/>
      <c r="J83" s="262"/>
      <c r="K83" s="265"/>
      <c r="L83" s="265"/>
    </row>
    <row r="84" spans="1:12" s="148" customFormat="1" x14ac:dyDescent="0.25">
      <c r="A84" s="254" t="s">
        <v>621</v>
      </c>
      <c r="B84" s="255" t="s">
        <v>201</v>
      </c>
      <c r="C84" s="256" t="s">
        <v>767</v>
      </c>
      <c r="D84" s="257">
        <v>62</v>
      </c>
      <c r="E84" s="258">
        <v>149</v>
      </c>
      <c r="F84" s="257"/>
      <c r="G84" s="258"/>
      <c r="H84" s="257"/>
      <c r="I84" s="258"/>
      <c r="J84" s="256" t="s">
        <v>33</v>
      </c>
      <c r="K84" s="259"/>
      <c r="L84" s="259"/>
    </row>
    <row r="85" spans="1:12" s="149" customFormat="1" x14ac:dyDescent="0.25">
      <c r="A85" s="260" t="s">
        <v>768</v>
      </c>
      <c r="B85" s="261" t="s">
        <v>202</v>
      </c>
      <c r="C85" s="266" t="s">
        <v>767</v>
      </c>
      <c r="D85" s="263">
        <v>1377</v>
      </c>
      <c r="E85" s="264">
        <v>12240</v>
      </c>
      <c r="F85" s="26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96</v>
      </c>
      <c r="B86" s="261">
        <v>7215400</v>
      </c>
      <c r="C86" s="262" t="s">
        <v>767</v>
      </c>
      <c r="D86" s="263">
        <v>48</v>
      </c>
      <c r="E86" s="264">
        <v>95</v>
      </c>
      <c r="F86" s="26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97</v>
      </c>
      <c r="B87" s="261" t="s">
        <v>204</v>
      </c>
      <c r="C87" s="262" t="s">
        <v>767</v>
      </c>
      <c r="D87" s="263">
        <v>58</v>
      </c>
      <c r="E87" s="264">
        <v>11</v>
      </c>
      <c r="F87" s="26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98</v>
      </c>
      <c r="B88" s="261" t="s">
        <v>205</v>
      </c>
      <c r="C88" s="262" t="s">
        <v>767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5"/>
      <c r="L88" s="265"/>
    </row>
    <row r="89" spans="1:12" s="149" customFormat="1" x14ac:dyDescent="0.25">
      <c r="A89" s="260" t="s">
        <v>769</v>
      </c>
      <c r="B89" s="261" t="s">
        <v>206</v>
      </c>
      <c r="C89" s="262" t="s">
        <v>767</v>
      </c>
      <c r="D89" s="263">
        <v>68</v>
      </c>
      <c r="E89" s="264">
        <v>296</v>
      </c>
      <c r="F89" s="26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100</v>
      </c>
      <c r="B90" s="282">
        <v>1323346600</v>
      </c>
      <c r="C90" s="262" t="s">
        <v>767</v>
      </c>
      <c r="D90" s="263">
        <v>532</v>
      </c>
      <c r="E90" s="264">
        <v>3900</v>
      </c>
      <c r="F90" s="26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101</v>
      </c>
      <c r="B91" s="282">
        <v>1322699400</v>
      </c>
      <c r="C91" s="262" t="s">
        <v>767</v>
      </c>
      <c r="D91" s="263">
        <v>466</v>
      </c>
      <c r="E91" s="264">
        <v>3840</v>
      </c>
      <c r="F91" s="263"/>
      <c r="G91" s="264"/>
      <c r="H91" s="263"/>
      <c r="I91" s="264"/>
      <c r="J91" s="262" t="s">
        <v>33</v>
      </c>
      <c r="K91" s="265"/>
      <c r="L91" s="265"/>
    </row>
    <row r="92" spans="1:12" s="352" customFormat="1" x14ac:dyDescent="0.25">
      <c r="A92" s="346" t="s">
        <v>772</v>
      </c>
      <c r="B92" s="347" t="s">
        <v>200</v>
      </c>
      <c r="C92" s="348" t="s">
        <v>767</v>
      </c>
      <c r="D92" s="349">
        <v>286</v>
      </c>
      <c r="E92" s="350" t="s">
        <v>773</v>
      </c>
      <c r="F92" s="349"/>
      <c r="G92" s="350"/>
      <c r="H92" s="349"/>
      <c r="I92" s="350"/>
      <c r="J92" s="348" t="s">
        <v>33</v>
      </c>
      <c r="K92" s="351"/>
      <c r="L92" s="351"/>
    </row>
    <row r="93" spans="1:12" s="149" customFormat="1" x14ac:dyDescent="0.25">
      <c r="A93" s="260" t="s">
        <v>110</v>
      </c>
      <c r="B93" s="261" t="s">
        <v>207</v>
      </c>
      <c r="C93" s="262" t="s">
        <v>767</v>
      </c>
      <c r="D93" s="263">
        <v>142</v>
      </c>
      <c r="E93" s="264">
        <v>474</v>
      </c>
      <c r="F93" s="26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111</v>
      </c>
      <c r="B94" s="261" t="s">
        <v>222</v>
      </c>
      <c r="C94" s="262" t="s">
        <v>767</v>
      </c>
      <c r="D94" s="263">
        <v>65</v>
      </c>
      <c r="E94" s="264">
        <v>145</v>
      </c>
      <c r="F94" s="26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117</v>
      </c>
      <c r="B95" s="261" t="s">
        <v>220</v>
      </c>
      <c r="C95" s="262" t="s">
        <v>767</v>
      </c>
      <c r="D95" s="263">
        <v>94</v>
      </c>
      <c r="E95" s="264">
        <v>442</v>
      </c>
      <c r="F95" s="263"/>
      <c r="G95" s="264"/>
      <c r="H95" s="263"/>
      <c r="I95" s="264"/>
      <c r="J95" s="262" t="s">
        <v>33</v>
      </c>
      <c r="K95" s="265"/>
      <c r="L95" s="265"/>
    </row>
    <row r="96" spans="1:12" s="149" customFormat="1" x14ac:dyDescent="0.25">
      <c r="A96" s="260" t="s">
        <v>118</v>
      </c>
      <c r="B96" s="261" t="s">
        <v>221</v>
      </c>
      <c r="C96" s="266" t="s">
        <v>767</v>
      </c>
      <c r="D96" s="263">
        <v>73</v>
      </c>
      <c r="E96" s="264">
        <v>432</v>
      </c>
      <c r="F96" s="263"/>
      <c r="G96" s="264"/>
      <c r="H96" s="263"/>
      <c r="I96" s="264"/>
      <c r="J96" s="262" t="s">
        <v>33</v>
      </c>
      <c r="K96" s="265"/>
      <c r="L96" s="265"/>
    </row>
    <row r="97" spans="1:12" s="149" customFormat="1" x14ac:dyDescent="0.25">
      <c r="A97" s="260" t="s">
        <v>701</v>
      </c>
      <c r="B97" s="261">
        <v>1323115001</v>
      </c>
      <c r="C97" s="266" t="s">
        <v>767</v>
      </c>
      <c r="D97" s="263">
        <v>1415</v>
      </c>
      <c r="E97" s="264">
        <v>15120</v>
      </c>
      <c r="F97" s="263"/>
      <c r="G97" s="264"/>
      <c r="H97" s="263"/>
      <c r="I97" s="264"/>
      <c r="J97" s="262"/>
      <c r="K97" s="265"/>
      <c r="L97" s="265"/>
    </row>
    <row r="98" spans="1:12" s="149" customFormat="1" x14ac:dyDescent="0.25">
      <c r="A98" s="260" t="s">
        <v>683</v>
      </c>
      <c r="B98" s="261">
        <v>1322673502</v>
      </c>
      <c r="C98" s="266" t="s">
        <v>767</v>
      </c>
      <c r="D98" s="263">
        <v>50</v>
      </c>
      <c r="E98" s="264">
        <v>0</v>
      </c>
      <c r="F98" s="26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702</v>
      </c>
      <c r="B99" s="261">
        <v>1322725900</v>
      </c>
      <c r="C99" s="266" t="s">
        <v>767</v>
      </c>
      <c r="D99" s="263">
        <v>552</v>
      </c>
      <c r="E99" s="264">
        <v>3720</v>
      </c>
      <c r="F99" s="263"/>
      <c r="G99" s="264"/>
      <c r="H99" s="263"/>
      <c r="I99" s="264"/>
      <c r="J99" s="262"/>
      <c r="K99" s="265"/>
      <c r="L99" s="265"/>
    </row>
    <row r="100" spans="1:12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3"/>
      <c r="L100" s="253"/>
    </row>
    <row r="101" spans="1:12" s="149" customFormat="1" x14ac:dyDescent="0.25">
      <c r="A101" s="260" t="s">
        <v>65</v>
      </c>
      <c r="B101" s="261" t="s">
        <v>163</v>
      </c>
      <c r="C101" s="262" t="s">
        <v>767</v>
      </c>
      <c r="D101" s="263"/>
      <c r="E101" s="264"/>
      <c r="F101" s="263"/>
      <c r="G101" s="264"/>
      <c r="H101" s="263">
        <v>123.76</v>
      </c>
      <c r="I101" s="264">
        <v>173</v>
      </c>
      <c r="J101" s="262"/>
      <c r="K101" s="265"/>
      <c r="L101" s="265"/>
    </row>
    <row r="102" spans="1:12" s="149" customFormat="1" x14ac:dyDescent="0.25">
      <c r="A102" s="260" t="s">
        <v>37</v>
      </c>
      <c r="B102" s="261" t="s">
        <v>190</v>
      </c>
      <c r="C102" s="262" t="s">
        <v>767</v>
      </c>
      <c r="D102" s="263"/>
      <c r="E102" s="264"/>
      <c r="F102" s="263"/>
      <c r="G102" s="264"/>
      <c r="H102" s="263">
        <v>180.09</v>
      </c>
      <c r="I102" s="264">
        <v>259</v>
      </c>
      <c r="J102" s="262"/>
      <c r="K102" s="265"/>
      <c r="L102" s="265"/>
    </row>
    <row r="103" spans="1:12" s="149" customFormat="1" x14ac:dyDescent="0.25">
      <c r="A103" s="260" t="s">
        <v>71</v>
      </c>
      <c r="B103" s="261" t="s">
        <v>188</v>
      </c>
      <c r="C103" s="262" t="s">
        <v>767</v>
      </c>
      <c r="D103" s="263"/>
      <c r="E103" s="264"/>
      <c r="F103" s="263"/>
      <c r="G103" s="264"/>
      <c r="H103" s="263">
        <v>33.659999999999997</v>
      </c>
      <c r="I103" s="264">
        <v>2</v>
      </c>
      <c r="J103" s="262"/>
      <c r="K103" s="265"/>
      <c r="L103" s="265"/>
    </row>
    <row r="104" spans="1:12" s="149" customFormat="1" x14ac:dyDescent="0.25">
      <c r="A104" s="260" t="s">
        <v>72</v>
      </c>
      <c r="B104" s="261" t="s">
        <v>187</v>
      </c>
      <c r="C104" s="266" t="s">
        <v>767</v>
      </c>
      <c r="D104" s="263"/>
      <c r="E104" s="264"/>
      <c r="F104" s="263"/>
      <c r="G104" s="264"/>
      <c r="H104" s="263">
        <v>33.659999999999997</v>
      </c>
      <c r="I104" s="264">
        <v>0</v>
      </c>
      <c r="J104" s="262"/>
      <c r="K104" s="265"/>
      <c r="L104" s="265"/>
    </row>
    <row r="105" spans="1:12" s="149" customFormat="1" x14ac:dyDescent="0.25">
      <c r="A105" s="260" t="s">
        <v>73</v>
      </c>
      <c r="B105" s="261" t="s">
        <v>171</v>
      </c>
      <c r="C105" s="262" t="s">
        <v>767</v>
      </c>
      <c r="D105" s="263"/>
      <c r="E105" s="264"/>
      <c r="F105" s="263"/>
      <c r="G105" s="264"/>
      <c r="H105" s="263">
        <v>34.19</v>
      </c>
      <c r="I105" s="264">
        <v>21</v>
      </c>
      <c r="J105" s="262"/>
      <c r="K105" s="265"/>
      <c r="L105" s="265"/>
    </row>
    <row r="106" spans="1:12" s="149" customFormat="1" x14ac:dyDescent="0.25">
      <c r="A106" s="260" t="s">
        <v>74</v>
      </c>
      <c r="B106" s="261" t="s">
        <v>170</v>
      </c>
      <c r="C106" s="262" t="s">
        <v>767</v>
      </c>
      <c r="D106" s="263"/>
      <c r="E106" s="264"/>
      <c r="F106" s="263"/>
      <c r="G106" s="264"/>
      <c r="H106" s="263">
        <v>33.659999999999997</v>
      </c>
      <c r="I106" s="264">
        <v>1</v>
      </c>
      <c r="J106" s="262"/>
      <c r="K106" s="265"/>
      <c r="L106" s="265"/>
    </row>
    <row r="107" spans="1:12" s="149" customFormat="1" x14ac:dyDescent="0.25">
      <c r="A107" s="260" t="s">
        <v>75</v>
      </c>
      <c r="B107" s="261" t="s">
        <v>189</v>
      </c>
      <c r="C107" s="262" t="s">
        <v>767</v>
      </c>
      <c r="D107" s="263"/>
      <c r="E107" s="264"/>
      <c r="F107" s="263"/>
      <c r="G107" s="264"/>
      <c r="H107" s="263">
        <v>40.6</v>
      </c>
      <c r="I107" s="264">
        <v>33</v>
      </c>
      <c r="J107" s="262"/>
      <c r="K107" s="265"/>
      <c r="L107" s="265"/>
    </row>
    <row r="108" spans="1:12" s="149" customFormat="1" x14ac:dyDescent="0.25">
      <c r="A108" s="260" t="s">
        <v>76</v>
      </c>
      <c r="B108" s="261" t="s">
        <v>169</v>
      </c>
      <c r="C108" s="262" t="s">
        <v>767</v>
      </c>
      <c r="D108" s="263"/>
      <c r="E108" s="264"/>
      <c r="F108" s="26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60" t="s">
        <v>77</v>
      </c>
      <c r="B109" s="261" t="s">
        <v>168</v>
      </c>
      <c r="C109" s="262" t="s">
        <v>767</v>
      </c>
      <c r="D109" s="263"/>
      <c r="E109" s="264"/>
      <c r="F109" s="263"/>
      <c r="G109" s="264"/>
      <c r="H109" s="263">
        <v>133.49</v>
      </c>
      <c r="I109" s="264">
        <v>188</v>
      </c>
      <c r="J109" s="262"/>
      <c r="K109" s="265"/>
      <c r="L109" s="265"/>
    </row>
    <row r="110" spans="1:12" s="149" customFormat="1" x14ac:dyDescent="0.25">
      <c r="A110" s="260" t="s">
        <v>78</v>
      </c>
      <c r="B110" s="261" t="s">
        <v>197</v>
      </c>
      <c r="C110" s="262" t="s">
        <v>767</v>
      </c>
      <c r="D110" s="263"/>
      <c r="E110" s="264"/>
      <c r="F110" s="263"/>
      <c r="G110" s="264"/>
      <c r="H110" s="263">
        <v>33.659999999999997</v>
      </c>
      <c r="I110" s="264">
        <v>8</v>
      </c>
      <c r="J110" s="262"/>
      <c r="K110" s="265"/>
      <c r="L110" s="265"/>
    </row>
    <row r="111" spans="1:12" s="149" customFormat="1" x14ac:dyDescent="0.25">
      <c r="A111" s="260" t="s">
        <v>79</v>
      </c>
      <c r="B111" s="261" t="s">
        <v>167</v>
      </c>
      <c r="C111" s="266" t="s">
        <v>767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5"/>
      <c r="L111" s="265"/>
    </row>
    <row r="112" spans="1:12" s="149" customFormat="1" x14ac:dyDescent="0.25">
      <c r="A112" s="283" t="s">
        <v>80</v>
      </c>
      <c r="B112" s="284" t="s">
        <v>177</v>
      </c>
      <c r="C112" s="285" t="s">
        <v>767</v>
      </c>
      <c r="D112" s="286"/>
      <c r="E112" s="287"/>
      <c r="F112" s="286"/>
      <c r="G112" s="287"/>
      <c r="H112" s="286">
        <v>33.659999999999997</v>
      </c>
      <c r="I112" s="287">
        <v>0</v>
      </c>
      <c r="J112" s="288"/>
      <c r="K112" s="265"/>
      <c r="L112" s="265"/>
    </row>
    <row r="113" spans="1:12" s="149" customFormat="1" x14ac:dyDescent="0.25">
      <c r="A113" s="260" t="s">
        <v>81</v>
      </c>
      <c r="B113" s="261" t="s">
        <v>180</v>
      </c>
      <c r="C113" s="262" t="s">
        <v>767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5"/>
      <c r="L113" s="265"/>
    </row>
    <row r="114" spans="1:12" s="149" customFormat="1" x14ac:dyDescent="0.25">
      <c r="A114" s="260" t="s">
        <v>82</v>
      </c>
      <c r="B114" s="261" t="s">
        <v>179</v>
      </c>
      <c r="C114" s="262" t="s">
        <v>767</v>
      </c>
      <c r="D114" s="263"/>
      <c r="E114" s="264"/>
      <c r="F114" s="263"/>
      <c r="G114" s="264"/>
      <c r="H114" s="263">
        <v>45.94</v>
      </c>
      <c r="I114" s="264">
        <v>43</v>
      </c>
      <c r="J114" s="262"/>
      <c r="K114" s="265"/>
      <c r="L114" s="265"/>
    </row>
    <row r="115" spans="1:12" s="149" customFormat="1" x14ac:dyDescent="0.25">
      <c r="A115" s="260" t="s">
        <v>83</v>
      </c>
      <c r="B115" s="261" t="s">
        <v>178</v>
      </c>
      <c r="C115" s="262" t="s">
        <v>767</v>
      </c>
      <c r="D115" s="263"/>
      <c r="E115" s="264"/>
      <c r="F115" s="263"/>
      <c r="G115" s="264"/>
      <c r="H115" s="263">
        <v>33.659999999999997</v>
      </c>
      <c r="I115" s="264">
        <v>7</v>
      </c>
      <c r="J115" s="262"/>
      <c r="K115" s="265"/>
      <c r="L115" s="265"/>
    </row>
    <row r="116" spans="1:12" s="149" customFormat="1" x14ac:dyDescent="0.25">
      <c r="A116" s="260" t="s">
        <v>84</v>
      </c>
      <c r="B116" s="261" t="s">
        <v>175</v>
      </c>
      <c r="C116" s="262" t="s">
        <v>767</v>
      </c>
      <c r="D116" s="263"/>
      <c r="E116" s="264"/>
      <c r="F116" s="263"/>
      <c r="G116" s="264"/>
      <c r="H116" s="263">
        <v>33.659999999999997</v>
      </c>
      <c r="I116" s="264">
        <v>9</v>
      </c>
      <c r="J116" s="262"/>
      <c r="K116" s="265"/>
      <c r="L116" s="265"/>
    </row>
    <row r="117" spans="1:12" s="149" customFormat="1" x14ac:dyDescent="0.25">
      <c r="A117" s="260" t="s">
        <v>85</v>
      </c>
      <c r="B117" s="261" t="s">
        <v>184</v>
      </c>
      <c r="C117" s="262" t="s">
        <v>767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5"/>
      <c r="L117" s="265"/>
    </row>
    <row r="118" spans="1:12" s="149" customFormat="1" x14ac:dyDescent="0.25">
      <c r="A118" s="260" t="s">
        <v>86</v>
      </c>
      <c r="B118" s="261" t="s">
        <v>185</v>
      </c>
      <c r="C118" s="262" t="s">
        <v>767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87</v>
      </c>
      <c r="B119" s="261" t="s">
        <v>181</v>
      </c>
      <c r="C119" s="262" t="s">
        <v>767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5"/>
      <c r="L119" s="265"/>
    </row>
    <row r="120" spans="1:12" s="149" customFormat="1" x14ac:dyDescent="0.25">
      <c r="A120" s="260" t="s">
        <v>88</v>
      </c>
      <c r="B120" s="261" t="s">
        <v>172</v>
      </c>
      <c r="C120" s="262" t="s">
        <v>767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89</v>
      </c>
      <c r="B121" s="261" t="s">
        <v>173</v>
      </c>
      <c r="C121" s="262" t="s">
        <v>767</v>
      </c>
      <c r="D121" s="263"/>
      <c r="E121" s="264"/>
      <c r="F121" s="263"/>
      <c r="G121" s="264"/>
      <c r="H121" s="263">
        <v>33.659999999999997</v>
      </c>
      <c r="I121" s="264">
        <v>6</v>
      </c>
      <c r="J121" s="262"/>
      <c r="K121" s="265"/>
      <c r="L121" s="265"/>
    </row>
    <row r="122" spans="1:12" s="149" customFormat="1" x14ac:dyDescent="0.25">
      <c r="A122" s="260" t="s">
        <v>90</v>
      </c>
      <c r="B122" s="261" t="s">
        <v>174</v>
      </c>
      <c r="C122" s="262" t="s">
        <v>767</v>
      </c>
      <c r="D122" s="263"/>
      <c r="E122" s="264"/>
      <c r="F122" s="263"/>
      <c r="G122" s="264"/>
      <c r="H122" s="263">
        <v>33.659999999999997</v>
      </c>
      <c r="I122" s="264">
        <v>0</v>
      </c>
      <c r="J122" s="262"/>
      <c r="K122" s="265"/>
      <c r="L122" s="265"/>
    </row>
    <row r="123" spans="1:12" s="149" customFormat="1" x14ac:dyDescent="0.25">
      <c r="A123" s="260" t="s">
        <v>91</v>
      </c>
      <c r="B123" s="261" t="s">
        <v>182</v>
      </c>
      <c r="C123" s="262" t="s">
        <v>767</v>
      </c>
      <c r="D123" s="263"/>
      <c r="E123" s="264"/>
      <c r="F123" s="263"/>
      <c r="G123" s="264"/>
      <c r="H123" s="263">
        <v>48.08</v>
      </c>
      <c r="I123" s="264">
        <v>47</v>
      </c>
      <c r="J123" s="262"/>
      <c r="K123" s="265"/>
      <c r="L123" s="265"/>
    </row>
    <row r="124" spans="1:12" s="149" customFormat="1" x14ac:dyDescent="0.25">
      <c r="A124" s="260" t="s">
        <v>92</v>
      </c>
      <c r="B124" s="261" t="s">
        <v>186</v>
      </c>
      <c r="C124" s="262" t="s">
        <v>767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5"/>
      <c r="L124" s="265"/>
    </row>
    <row r="125" spans="1:12" s="149" customFormat="1" x14ac:dyDescent="0.25">
      <c r="A125" s="260" t="s">
        <v>93</v>
      </c>
      <c r="B125" s="261" t="s">
        <v>183</v>
      </c>
      <c r="C125" s="262" t="s">
        <v>767</v>
      </c>
      <c r="D125" s="263"/>
      <c r="E125" s="264"/>
      <c r="F125" s="263"/>
      <c r="G125" s="264"/>
      <c r="H125" s="263">
        <v>33.659999999999997</v>
      </c>
      <c r="I125" s="264">
        <v>0</v>
      </c>
      <c r="J125" s="262"/>
      <c r="K125" s="265"/>
      <c r="L125" s="265"/>
    </row>
    <row r="126" spans="1:12" s="149" customFormat="1" x14ac:dyDescent="0.25">
      <c r="A126" s="260" t="s">
        <v>103</v>
      </c>
      <c r="B126" s="261" t="s">
        <v>194</v>
      </c>
      <c r="C126" s="262" t="s">
        <v>767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5"/>
      <c r="L126" s="265"/>
    </row>
    <row r="127" spans="1:12" s="359" customFormat="1" x14ac:dyDescent="0.25">
      <c r="A127" s="353" t="s">
        <v>104</v>
      </c>
      <c r="B127" s="354" t="s">
        <v>195</v>
      </c>
      <c r="C127" s="355" t="s">
        <v>577</v>
      </c>
      <c r="D127" s="356"/>
      <c r="E127" s="357"/>
      <c r="F127" s="356"/>
      <c r="G127" s="357"/>
      <c r="H127" s="356">
        <v>0</v>
      </c>
      <c r="I127" s="357">
        <v>0</v>
      </c>
      <c r="J127" s="355"/>
      <c r="K127" s="358"/>
      <c r="L127" s="358"/>
    </row>
    <row r="128" spans="1:12" s="149" customFormat="1" x14ac:dyDescent="0.25">
      <c r="A128" s="260" t="s">
        <v>105</v>
      </c>
      <c r="B128" s="261" t="s">
        <v>196</v>
      </c>
      <c r="C128" s="262" t="s">
        <v>881</v>
      </c>
      <c r="D128" s="263"/>
      <c r="E128" s="264"/>
      <c r="F128" s="263"/>
      <c r="G128" s="264"/>
      <c r="H128" s="263">
        <v>50.49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68</v>
      </c>
      <c r="B129" s="261" t="s">
        <v>166</v>
      </c>
      <c r="C129" s="262" t="s">
        <v>767</v>
      </c>
      <c r="D129" s="263"/>
      <c r="E129" s="264"/>
      <c r="F129" s="263"/>
      <c r="G129" s="264"/>
      <c r="H129" s="263">
        <v>41.14</v>
      </c>
      <c r="I129" s="264">
        <v>34</v>
      </c>
      <c r="J129" s="262"/>
      <c r="K129" s="265"/>
      <c r="L129" s="265"/>
    </row>
    <row r="130" spans="1:12" s="149" customFormat="1" x14ac:dyDescent="0.25">
      <c r="A130" s="260" t="s">
        <v>46</v>
      </c>
      <c r="B130" s="261" t="s">
        <v>193</v>
      </c>
      <c r="C130" s="262" t="s">
        <v>767</v>
      </c>
      <c r="D130" s="263"/>
      <c r="E130" s="264"/>
      <c r="F130" s="263"/>
      <c r="G130" s="264"/>
      <c r="H130" s="263">
        <v>33.659999999999997</v>
      </c>
      <c r="I130" s="264">
        <v>15</v>
      </c>
      <c r="J130" s="262"/>
      <c r="K130" s="265"/>
      <c r="L130" s="265"/>
    </row>
    <row r="131" spans="1:12" s="149" customFormat="1" x14ac:dyDescent="0.25">
      <c r="A131" s="260" t="s">
        <v>17</v>
      </c>
      <c r="B131" s="261" t="s">
        <v>192</v>
      </c>
      <c r="C131" s="262" t="s">
        <v>767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5"/>
      <c r="L131" s="265"/>
    </row>
    <row r="132" spans="1:12" s="149" customFormat="1" x14ac:dyDescent="0.25">
      <c r="A132" s="260" t="s">
        <v>47</v>
      </c>
      <c r="B132" s="261" t="s">
        <v>139</v>
      </c>
      <c r="C132" s="262" t="s">
        <v>885</v>
      </c>
      <c r="D132" s="263"/>
      <c r="E132" s="264"/>
      <c r="F132" s="263"/>
      <c r="G132" s="264"/>
      <c r="H132" s="263">
        <v>50.21</v>
      </c>
      <c r="I132" s="264">
        <v>51</v>
      </c>
      <c r="J132" s="262"/>
      <c r="K132" s="265"/>
      <c r="L132" s="265"/>
    </row>
    <row r="133" spans="1:12" s="149" customFormat="1" x14ac:dyDescent="0.25">
      <c r="A133" s="260" t="s">
        <v>64</v>
      </c>
      <c r="B133" s="261" t="s">
        <v>191</v>
      </c>
      <c r="C133" s="262" t="s">
        <v>767</v>
      </c>
      <c r="D133" s="263"/>
      <c r="E133" s="264"/>
      <c r="F133" s="263"/>
      <c r="G133" s="264"/>
      <c r="H133" s="263">
        <v>155.56</v>
      </c>
      <c r="I133" s="264">
        <v>222</v>
      </c>
      <c r="J133" s="262"/>
      <c r="K133" s="265"/>
      <c r="L133" s="265"/>
    </row>
    <row r="134" spans="1:12" s="149" customFormat="1" x14ac:dyDescent="0.25">
      <c r="A134" s="260" t="s">
        <v>130</v>
      </c>
      <c r="B134" s="261" t="s">
        <v>131</v>
      </c>
      <c r="C134" s="262" t="s">
        <v>885</v>
      </c>
      <c r="D134" s="263"/>
      <c r="E134" s="264"/>
      <c r="F134" s="263"/>
      <c r="G134" s="264"/>
      <c r="H134" s="263">
        <v>33.659999999999997</v>
      </c>
      <c r="I134" s="264">
        <v>1</v>
      </c>
      <c r="J134" s="262"/>
      <c r="K134" s="265"/>
      <c r="L134" s="265"/>
    </row>
    <row r="135" spans="1:12" s="149" customFormat="1" x14ac:dyDescent="0.25">
      <c r="A135" s="260" t="s">
        <v>134</v>
      </c>
      <c r="B135" s="261" t="s">
        <v>133</v>
      </c>
      <c r="C135" s="262" t="s">
        <v>885</v>
      </c>
      <c r="D135" s="263"/>
      <c r="E135" s="264"/>
      <c r="F135" s="263"/>
      <c r="G135" s="264"/>
      <c r="H135" s="263">
        <v>33.659999999999997</v>
      </c>
      <c r="I135" s="264">
        <v>13</v>
      </c>
      <c r="J135" s="262"/>
      <c r="K135" s="265"/>
      <c r="L135" s="265"/>
    </row>
    <row r="136" spans="1:12" s="149" customFormat="1" x14ac:dyDescent="0.25">
      <c r="A136" s="260" t="s">
        <v>543</v>
      </c>
      <c r="B136" s="261" t="s">
        <v>135</v>
      </c>
      <c r="C136" s="262" t="s">
        <v>885</v>
      </c>
      <c r="D136" s="263"/>
      <c r="E136" s="264"/>
      <c r="F136" s="263"/>
      <c r="G136" s="264"/>
      <c r="H136" s="263">
        <v>1382.15</v>
      </c>
      <c r="I136" s="264">
        <v>1841</v>
      </c>
      <c r="J136" s="262"/>
      <c r="K136" s="265"/>
      <c r="L136" s="265"/>
    </row>
    <row r="137" spans="1:12" s="149" customFormat="1" x14ac:dyDescent="0.25">
      <c r="A137" s="260" t="s">
        <v>137</v>
      </c>
      <c r="B137" s="261" t="s">
        <v>138</v>
      </c>
      <c r="C137" s="262" t="s">
        <v>885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5"/>
      <c r="L137" s="265"/>
    </row>
    <row r="138" spans="1:12" s="149" customFormat="1" x14ac:dyDescent="0.25">
      <c r="A138" s="260" t="s">
        <v>140</v>
      </c>
      <c r="B138" s="261" t="s">
        <v>141</v>
      </c>
      <c r="C138" s="266" t="s">
        <v>885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142</v>
      </c>
      <c r="B139" s="261" t="s">
        <v>143</v>
      </c>
      <c r="C139" s="262" t="s">
        <v>885</v>
      </c>
      <c r="D139" s="263"/>
      <c r="E139" s="264"/>
      <c r="F139" s="263"/>
      <c r="G139" s="264"/>
      <c r="H139" s="263">
        <v>33.659999999999997</v>
      </c>
      <c r="I139" s="264">
        <v>12</v>
      </c>
      <c r="J139" s="262"/>
      <c r="K139" s="265"/>
      <c r="L139" s="265"/>
    </row>
    <row r="140" spans="1:12" s="149" customFormat="1" x14ac:dyDescent="0.25">
      <c r="A140" s="260" t="s">
        <v>587</v>
      </c>
      <c r="B140" s="261" t="s">
        <v>145</v>
      </c>
      <c r="C140" s="262" t="s">
        <v>885</v>
      </c>
      <c r="D140" s="263"/>
      <c r="E140" s="264"/>
      <c r="F140" s="263"/>
      <c r="G140" s="264"/>
      <c r="H140" s="263">
        <v>192.82</v>
      </c>
      <c r="I140" s="264">
        <v>277</v>
      </c>
      <c r="J140" s="262"/>
      <c r="K140" s="265"/>
      <c r="L140" s="265"/>
    </row>
    <row r="141" spans="1:12" s="149" customFormat="1" x14ac:dyDescent="0.25">
      <c r="A141" s="260" t="s">
        <v>588</v>
      </c>
      <c r="B141" s="261" t="s">
        <v>147</v>
      </c>
      <c r="C141" s="262" t="s">
        <v>885</v>
      </c>
      <c r="D141" s="263"/>
      <c r="E141" s="264"/>
      <c r="F141" s="263"/>
      <c r="G141" s="264"/>
      <c r="H141" s="263">
        <v>171.78</v>
      </c>
      <c r="I141" s="264">
        <v>247</v>
      </c>
      <c r="J141" s="262"/>
      <c r="K141" s="265"/>
      <c r="L141" s="265"/>
    </row>
    <row r="142" spans="1:12" s="149" customFormat="1" x14ac:dyDescent="0.25">
      <c r="A142" s="260" t="s">
        <v>176</v>
      </c>
      <c r="B142" s="261" t="s">
        <v>165</v>
      </c>
      <c r="C142" s="262" t="s">
        <v>885</v>
      </c>
      <c r="D142" s="263"/>
      <c r="E142" s="264"/>
      <c r="F142" s="263"/>
      <c r="G142" s="264"/>
      <c r="H142" s="263">
        <v>132.19</v>
      </c>
      <c r="I142" s="264">
        <v>186</v>
      </c>
      <c r="J142" s="262"/>
      <c r="K142" s="265"/>
      <c r="L142" s="265"/>
    </row>
    <row r="143" spans="1:12" s="199" customFormat="1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107</v>
      </c>
      <c r="B144" s="261">
        <v>67</v>
      </c>
      <c r="C144" s="262" t="s">
        <v>767</v>
      </c>
      <c r="D144" s="263"/>
      <c r="E144" s="264"/>
      <c r="F144" s="263"/>
      <c r="G144" s="264"/>
      <c r="H144" s="263">
        <v>50</v>
      </c>
      <c r="I144" s="264">
        <v>0</v>
      </c>
      <c r="J144" s="262"/>
      <c r="K144" s="265"/>
      <c r="L144" s="265"/>
    </row>
    <row r="145" spans="1:12" s="149" customFormat="1" x14ac:dyDescent="0.25">
      <c r="A145" s="260" t="s">
        <v>109</v>
      </c>
      <c r="B145" s="261">
        <v>95</v>
      </c>
      <c r="C145" s="262" t="s">
        <v>767</v>
      </c>
      <c r="D145" s="263"/>
      <c r="E145" s="264"/>
      <c r="F145" s="263"/>
      <c r="G145" s="264"/>
      <c r="H145" s="263">
        <v>60</v>
      </c>
      <c r="I145" s="264">
        <v>1300</v>
      </c>
      <c r="J145" s="262"/>
      <c r="K145" s="265"/>
      <c r="L145" s="265"/>
    </row>
    <row r="146" spans="1:12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3"/>
      <c r="L146" s="253"/>
    </row>
    <row r="147" spans="1:12" s="149" customFormat="1" x14ac:dyDescent="0.25">
      <c r="A147" s="260" t="s">
        <v>156</v>
      </c>
      <c r="B147" s="291">
        <v>61</v>
      </c>
      <c r="C147" s="266">
        <v>42802</v>
      </c>
      <c r="D147" s="263"/>
      <c r="E147" s="264"/>
      <c r="F147" s="263"/>
      <c r="G147" s="264"/>
      <c r="H147" s="263">
        <v>35.18</v>
      </c>
      <c r="I147" s="264">
        <v>60</v>
      </c>
      <c r="J147" s="262"/>
      <c r="K147" s="265"/>
      <c r="L147" s="265"/>
    </row>
    <row r="148" spans="1:12" s="199" customFormat="1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3"/>
      <c r="L148" s="253"/>
    </row>
    <row r="149" spans="1:12" s="149" customFormat="1" ht="26.25" x14ac:dyDescent="0.25">
      <c r="A149" s="260" t="s">
        <v>40</v>
      </c>
      <c r="B149" s="261">
        <v>95</v>
      </c>
      <c r="C149" s="266" t="s">
        <v>774</v>
      </c>
      <c r="D149" s="263"/>
      <c r="E149" s="264"/>
      <c r="F149" s="263"/>
      <c r="G149" s="264"/>
      <c r="H149" s="263">
        <v>16</v>
      </c>
      <c r="I149" s="264">
        <v>20</v>
      </c>
      <c r="J149" s="262"/>
      <c r="K149" s="265"/>
      <c r="L149" s="265"/>
    </row>
    <row r="150" spans="1:12" s="199" customFormat="1" ht="26.25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3"/>
      <c r="L150" s="253"/>
    </row>
    <row r="151" spans="1:12" s="149" customFormat="1" x14ac:dyDescent="0.25">
      <c r="A151" s="260" t="s">
        <v>355</v>
      </c>
      <c r="B151" s="261" t="s">
        <v>356</v>
      </c>
      <c r="C151" s="266" t="s">
        <v>884</v>
      </c>
      <c r="D151" s="263"/>
      <c r="E151" s="264"/>
      <c r="F151" s="263"/>
      <c r="G151" s="264"/>
      <c r="H151" s="263">
        <v>22.62</v>
      </c>
      <c r="I151" s="264">
        <v>30500</v>
      </c>
      <c r="J151" s="262"/>
      <c r="K151" s="265"/>
      <c r="L151" s="265"/>
    </row>
    <row r="152" spans="1:12" s="184" customFormat="1" x14ac:dyDescent="0.25">
      <c r="A152" s="245"/>
      <c r="B152" s="245"/>
      <c r="C152" s="245"/>
      <c r="D152" s="292">
        <f t="shared" ref="D152:I152" si="0">SUM(D2:D149)</f>
        <v>19826.050000000003</v>
      </c>
      <c r="E152" s="270">
        <f t="shared" si="0"/>
        <v>209620</v>
      </c>
      <c r="F152" s="292">
        <f t="shared" si="0"/>
        <v>4291.7</v>
      </c>
      <c r="G152" s="270">
        <f t="shared" si="0"/>
        <v>5297</v>
      </c>
      <c r="H152" s="292">
        <f t="shared" si="0"/>
        <v>3818.8300000000004</v>
      </c>
      <c r="I152" s="270">
        <f t="shared" si="0"/>
        <v>5076</v>
      </c>
      <c r="J152" s="292"/>
      <c r="K152" s="246"/>
      <c r="L152" s="246"/>
    </row>
    <row r="153" spans="1:12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5"/>
      <c r="L153" s="295"/>
    </row>
    <row r="154" spans="1:12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5"/>
      <c r="L154" s="295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G20"/>
  <sheetViews>
    <sheetView workbookViewId="0">
      <selection activeCell="D12" sqref="D1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883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36"/>
      <c r="B4" s="537"/>
      <c r="C4" s="537"/>
      <c r="D4" s="537"/>
      <c r="E4" s="537"/>
      <c r="F4" s="537"/>
      <c r="G4" s="53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285999.08</v>
      </c>
      <c r="D13" s="34"/>
      <c r="E13" s="35" t="s">
        <v>33</v>
      </c>
      <c r="F13" s="34"/>
      <c r="G13" s="42">
        <v>26077.97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7296</v>
      </c>
      <c r="D15" s="34"/>
      <c r="E15" s="35" t="s">
        <v>10</v>
      </c>
      <c r="F15" s="34"/>
      <c r="G15" s="42">
        <v>5982.77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4620.88</v>
      </c>
      <c r="D17" s="34"/>
      <c r="E17" s="35" t="s">
        <v>278</v>
      </c>
      <c r="F17" s="34"/>
      <c r="G17" s="42">
        <v>4086.97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161"/>
  <sheetViews>
    <sheetView zoomScale="110" zoomScaleNormal="110" workbookViewId="0">
      <pane ySplit="2" topLeftCell="A24" activePane="bottomLeft" state="frozen"/>
      <selection pane="bottomLeft" activeCell="D39" sqref="D3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7.140625" style="293" customWidth="1"/>
    <col min="12" max="12" width="9.140625" style="296"/>
    <col min="13" max="13" width="20" style="297" customWidth="1"/>
    <col min="14" max="14" width="15.5703125" style="297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743</v>
      </c>
      <c r="D3" s="257"/>
      <c r="E3" s="258"/>
      <c r="F3" s="257">
        <v>1862.37</v>
      </c>
      <c r="G3" s="258">
        <v>2453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744</v>
      </c>
      <c r="D4" s="263"/>
      <c r="E4" s="264"/>
      <c r="F4" s="263">
        <v>510.52</v>
      </c>
      <c r="G4" s="264">
        <v>638</v>
      </c>
      <c r="H4" s="263"/>
      <c r="I4" s="264"/>
      <c r="J4" s="262" t="s">
        <v>10</v>
      </c>
      <c r="K4" s="260"/>
      <c r="L4" s="262"/>
      <c r="M4" s="265"/>
      <c r="N4" s="265"/>
    </row>
    <row r="5" spans="1:14" s="148" customFormat="1" x14ac:dyDescent="0.25">
      <c r="A5" s="254" t="s">
        <v>34</v>
      </c>
      <c r="B5" s="255">
        <v>3039472917</v>
      </c>
      <c r="C5" s="256" t="s">
        <v>743</v>
      </c>
      <c r="D5" s="257"/>
      <c r="E5" s="258"/>
      <c r="F5" s="257">
        <v>599.03</v>
      </c>
      <c r="G5" s="258">
        <v>751</v>
      </c>
      <c r="H5" s="257"/>
      <c r="I5" s="258"/>
      <c r="J5" s="256" t="s">
        <v>10</v>
      </c>
      <c r="K5" s="254"/>
      <c r="L5" s="256"/>
      <c r="M5" s="259"/>
      <c r="N5" s="259"/>
    </row>
    <row r="6" spans="1:14" s="149" customFormat="1" x14ac:dyDescent="0.25">
      <c r="A6" s="260" t="s">
        <v>37</v>
      </c>
      <c r="B6" s="261">
        <v>4005211270</v>
      </c>
      <c r="C6" s="262" t="s">
        <v>749</v>
      </c>
      <c r="D6" s="263"/>
      <c r="E6" s="264"/>
      <c r="F6" s="263">
        <v>345.94</v>
      </c>
      <c r="G6" s="264">
        <v>416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ht="26.25" x14ac:dyDescent="0.25">
      <c r="A7" s="260" t="s">
        <v>41</v>
      </c>
      <c r="B7" s="261">
        <v>3044004323</v>
      </c>
      <c r="C7" s="262" t="s">
        <v>879</v>
      </c>
      <c r="D7" s="263"/>
      <c r="E7" s="264"/>
      <c r="F7" s="263">
        <v>125.77</v>
      </c>
      <c r="G7" s="264">
        <v>116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39" x14ac:dyDescent="0.25">
      <c r="A8" s="260" t="s">
        <v>42</v>
      </c>
      <c r="B8" s="261">
        <v>3029257704</v>
      </c>
      <c r="C8" s="262" t="s">
        <v>879</v>
      </c>
      <c r="D8" s="263"/>
      <c r="E8" s="264"/>
      <c r="F8" s="263">
        <v>78.099999999999994</v>
      </c>
      <c r="G8" s="264">
        <v>40</v>
      </c>
      <c r="H8" s="263"/>
      <c r="I8" s="264"/>
      <c r="J8" s="262" t="s">
        <v>10</v>
      </c>
      <c r="K8" s="260"/>
      <c r="L8" s="262"/>
      <c r="M8" s="265"/>
      <c r="N8" s="265"/>
    </row>
    <row r="9" spans="1:14" s="184" customFormat="1" ht="26.25" x14ac:dyDescent="0.25">
      <c r="A9" s="267" t="s">
        <v>44</v>
      </c>
      <c r="B9" s="268">
        <v>3039640691</v>
      </c>
      <c r="C9" s="245" t="s">
        <v>613</v>
      </c>
      <c r="D9" s="269"/>
      <c r="E9" s="270"/>
      <c r="F9" s="269">
        <v>33.25</v>
      </c>
      <c r="G9" s="270">
        <v>15</v>
      </c>
      <c r="H9" s="269"/>
      <c r="I9" s="270"/>
      <c r="J9" s="245" t="s">
        <v>10</v>
      </c>
      <c r="K9" s="267"/>
      <c r="L9" s="245"/>
      <c r="M9" s="246"/>
      <c r="N9" s="246"/>
    </row>
    <row r="10" spans="1:14" s="149" customFormat="1" x14ac:dyDescent="0.25">
      <c r="A10" s="260" t="s">
        <v>43</v>
      </c>
      <c r="B10" s="261">
        <v>3039782225</v>
      </c>
      <c r="C10" s="262" t="s">
        <v>744</v>
      </c>
      <c r="D10" s="263"/>
      <c r="E10" s="264"/>
      <c r="F10" s="263">
        <v>532.45000000000005</v>
      </c>
      <c r="G10" s="264">
        <v>668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ht="26.25" x14ac:dyDescent="0.25">
      <c r="A11" s="260" t="s">
        <v>610</v>
      </c>
      <c r="B11" s="261">
        <v>3039618715</v>
      </c>
      <c r="C11" s="271" t="s">
        <v>744</v>
      </c>
      <c r="D11" s="263"/>
      <c r="E11" s="264"/>
      <c r="F11" s="263">
        <v>55.65</v>
      </c>
      <c r="G11" s="264">
        <v>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84" customFormat="1" ht="26.25" x14ac:dyDescent="0.25">
      <c r="A12" s="267" t="s">
        <v>46</v>
      </c>
      <c r="B12" s="268">
        <v>3023189549</v>
      </c>
      <c r="C12" s="245" t="s">
        <v>635</v>
      </c>
      <c r="D12" s="269"/>
      <c r="E12" s="270"/>
      <c r="F12" s="269">
        <v>44.43</v>
      </c>
      <c r="G12" s="270">
        <v>0</v>
      </c>
      <c r="H12" s="269"/>
      <c r="I12" s="270"/>
      <c r="J12" s="245" t="s">
        <v>10</v>
      </c>
      <c r="K12" s="267"/>
      <c r="L12" s="245"/>
      <c r="M12" s="246"/>
      <c r="N12" s="246"/>
    </row>
    <row r="13" spans="1:14" s="149" customFormat="1" ht="26.25" x14ac:dyDescent="0.25">
      <c r="A13" s="260" t="s">
        <v>47</v>
      </c>
      <c r="B13" s="261">
        <v>3034878837</v>
      </c>
      <c r="C13" s="262" t="s">
        <v>750</v>
      </c>
      <c r="D13" s="263"/>
      <c r="E13" s="264"/>
      <c r="F13" s="263">
        <v>676.36</v>
      </c>
      <c r="G13" s="264">
        <v>865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x14ac:dyDescent="0.25">
      <c r="A14" s="260" t="s">
        <v>64</v>
      </c>
      <c r="B14" s="261">
        <v>3025670416</v>
      </c>
      <c r="C14" s="262" t="s">
        <v>749</v>
      </c>
      <c r="D14" s="263"/>
      <c r="E14" s="264"/>
      <c r="F14" s="263">
        <v>203.88</v>
      </c>
      <c r="G14" s="264">
        <v>220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65</v>
      </c>
      <c r="B15" s="261">
        <v>3023110891</v>
      </c>
      <c r="C15" s="262" t="s">
        <v>750</v>
      </c>
      <c r="D15" s="263"/>
      <c r="E15" s="264"/>
      <c r="F15" s="263">
        <v>680.73</v>
      </c>
      <c r="G15" s="264">
        <v>871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ht="26.25" x14ac:dyDescent="0.25">
      <c r="A16" s="260" t="s">
        <v>69</v>
      </c>
      <c r="B16" s="261">
        <v>3022125574</v>
      </c>
      <c r="C16" s="262" t="s">
        <v>748</v>
      </c>
      <c r="D16" s="263"/>
      <c r="E16" s="264"/>
      <c r="F16" s="263">
        <v>77.97</v>
      </c>
      <c r="G16" s="264">
        <v>71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x14ac:dyDescent="0.25">
      <c r="A17" s="260" t="s">
        <v>68</v>
      </c>
      <c r="B17" s="261">
        <v>3022125841</v>
      </c>
      <c r="C17" s="266" t="s">
        <v>748</v>
      </c>
      <c r="D17" s="263"/>
      <c r="E17" s="264"/>
      <c r="F17" s="263">
        <v>156.32</v>
      </c>
      <c r="G17" s="264">
        <v>168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212" customFormat="1" x14ac:dyDescent="0.25">
      <c r="A18" s="272" t="s">
        <v>436</v>
      </c>
      <c r="B18" s="273"/>
      <c r="C18" s="274"/>
      <c r="D18" s="275"/>
      <c r="E18" s="276"/>
      <c r="F18" s="275"/>
      <c r="G18" s="276"/>
      <c r="H18" s="275"/>
      <c r="I18" s="276"/>
      <c r="J18" s="274"/>
      <c r="K18" s="277"/>
      <c r="L18" s="274"/>
      <c r="M18" s="278"/>
      <c r="N18" s="278"/>
    </row>
    <row r="19" spans="1:14" s="497" customFormat="1" ht="25.5" x14ac:dyDescent="0.2">
      <c r="A19" s="498" t="s">
        <v>310</v>
      </c>
      <c r="B19" s="499">
        <v>8463322</v>
      </c>
      <c r="C19" s="500" t="s">
        <v>721</v>
      </c>
      <c r="D19" s="501">
        <v>5365.11</v>
      </c>
      <c r="E19" s="502">
        <v>85100</v>
      </c>
      <c r="F19" s="501"/>
      <c r="G19" s="502"/>
      <c r="H19" s="501"/>
      <c r="I19" s="502"/>
      <c r="J19" s="500" t="s">
        <v>33</v>
      </c>
      <c r="K19" s="503"/>
      <c r="L19" s="500"/>
      <c r="M19" s="497" t="s">
        <v>447</v>
      </c>
      <c r="N19" s="497" t="s">
        <v>490</v>
      </c>
    </row>
    <row r="20" spans="1:14" s="331" customFormat="1" ht="36.75" customHeight="1" x14ac:dyDescent="0.25">
      <c r="A20" s="485" t="s">
        <v>709</v>
      </c>
      <c r="B20" s="486">
        <v>15145888</v>
      </c>
      <c r="C20" s="327"/>
      <c r="D20" s="328"/>
      <c r="E20" s="329"/>
      <c r="F20" s="328"/>
      <c r="G20" s="329"/>
      <c r="H20" s="328"/>
      <c r="I20" s="329"/>
      <c r="J20" s="327"/>
      <c r="K20" s="325"/>
      <c r="L20" s="327"/>
      <c r="M20" s="330"/>
      <c r="N20" s="330"/>
    </row>
    <row r="21" spans="1:14" s="184" customFormat="1" x14ac:dyDescent="0.25">
      <c r="A21" s="267" t="s">
        <v>113</v>
      </c>
      <c r="B21" s="268">
        <v>5089282</v>
      </c>
      <c r="C21" s="245" t="s">
        <v>626</v>
      </c>
      <c r="D21" s="269">
        <v>551.37</v>
      </c>
      <c r="E21" s="270">
        <v>2700</v>
      </c>
      <c r="F21" s="269"/>
      <c r="G21" s="270"/>
      <c r="H21" s="269"/>
      <c r="I21" s="270"/>
      <c r="J21" s="245" t="s">
        <v>33</v>
      </c>
      <c r="K21" s="267"/>
      <c r="L21" s="245"/>
      <c r="M21" s="246" t="s">
        <v>447</v>
      </c>
      <c r="N21" s="246" t="s">
        <v>481</v>
      </c>
    </row>
    <row r="22" spans="1:14" s="184" customFormat="1" x14ac:dyDescent="0.25">
      <c r="A22" s="267" t="s">
        <v>252</v>
      </c>
      <c r="B22" s="245">
        <v>8239130</v>
      </c>
      <c r="C22" s="245" t="s">
        <v>626</v>
      </c>
      <c r="D22" s="269">
        <v>42.9</v>
      </c>
      <c r="E22" s="270">
        <v>364</v>
      </c>
      <c r="F22" s="269"/>
      <c r="G22" s="270"/>
      <c r="H22" s="269"/>
      <c r="I22" s="270"/>
      <c r="J22" s="245" t="s">
        <v>33</v>
      </c>
      <c r="K22" s="267"/>
      <c r="L22" s="245"/>
      <c r="M22" s="246" t="s">
        <v>447</v>
      </c>
      <c r="N22" s="246" t="s">
        <v>485</v>
      </c>
    </row>
    <row r="23" spans="1:14" s="184" customFormat="1" x14ac:dyDescent="0.25">
      <c r="A23" s="267" t="s">
        <v>114</v>
      </c>
      <c r="B23" s="268">
        <v>5089344</v>
      </c>
      <c r="C23" s="245" t="s">
        <v>626</v>
      </c>
      <c r="D23" s="269">
        <v>15.62</v>
      </c>
      <c r="E23" s="270">
        <v>13</v>
      </c>
      <c r="F23" s="269"/>
      <c r="G23" s="270"/>
      <c r="H23" s="269"/>
      <c r="I23" s="270"/>
      <c r="J23" s="245" t="s">
        <v>33</v>
      </c>
      <c r="K23" s="267"/>
      <c r="L23" s="245"/>
      <c r="M23" s="246" t="s">
        <v>447</v>
      </c>
      <c r="N23" s="246" t="s">
        <v>483</v>
      </c>
    </row>
    <row r="24" spans="1:14" s="184" customFormat="1" ht="26.25" x14ac:dyDescent="0.25">
      <c r="A24" s="267" t="s">
        <v>19</v>
      </c>
      <c r="B24" s="268">
        <v>7010755</v>
      </c>
      <c r="C24" s="245" t="s">
        <v>626</v>
      </c>
      <c r="D24" s="269">
        <v>31.16</v>
      </c>
      <c r="E24" s="270">
        <v>213</v>
      </c>
      <c r="F24" s="269"/>
      <c r="G24" s="270"/>
      <c r="H24" s="269"/>
      <c r="I24" s="270"/>
      <c r="J24" s="245" t="s">
        <v>33</v>
      </c>
      <c r="K24" s="267"/>
      <c r="L24" s="245"/>
      <c r="M24" s="246" t="s">
        <v>447</v>
      </c>
      <c r="N24" s="246" t="s">
        <v>498</v>
      </c>
    </row>
    <row r="25" spans="1:14" s="184" customFormat="1" x14ac:dyDescent="0.25">
      <c r="A25" s="267" t="s">
        <v>115</v>
      </c>
      <c r="B25" s="268">
        <v>9261200</v>
      </c>
      <c r="C25" s="245" t="s">
        <v>626</v>
      </c>
      <c r="D25" s="269">
        <v>157.44</v>
      </c>
      <c r="E25" s="270">
        <v>1837</v>
      </c>
      <c r="F25" s="269"/>
      <c r="G25" s="270"/>
      <c r="H25" s="269"/>
      <c r="I25" s="270"/>
      <c r="J25" s="245" t="s">
        <v>33</v>
      </c>
      <c r="K25" s="267"/>
      <c r="L25" s="245"/>
      <c r="M25" s="246" t="s">
        <v>447</v>
      </c>
      <c r="N25" s="246" t="s">
        <v>486</v>
      </c>
    </row>
    <row r="26" spans="1:14" s="184" customFormat="1" x14ac:dyDescent="0.25">
      <c r="A26" s="267" t="s">
        <v>116</v>
      </c>
      <c r="B26" s="268">
        <v>5105092</v>
      </c>
      <c r="C26" s="245" t="s">
        <v>629</v>
      </c>
      <c r="D26" s="269">
        <v>513.94000000000005</v>
      </c>
      <c r="E26" s="270">
        <v>6125</v>
      </c>
      <c r="F26" s="269"/>
      <c r="G26" s="270"/>
      <c r="H26" s="269"/>
      <c r="I26" s="270"/>
      <c r="J26" s="245" t="s">
        <v>33</v>
      </c>
      <c r="K26" s="267"/>
      <c r="L26" s="245"/>
      <c r="M26" s="246" t="s">
        <v>447</v>
      </c>
      <c r="N26" s="246" t="s">
        <v>487</v>
      </c>
    </row>
    <row r="27" spans="1:14" s="184" customFormat="1" x14ac:dyDescent="0.25">
      <c r="A27" s="267" t="s">
        <v>119</v>
      </c>
      <c r="B27" s="268">
        <v>5074402</v>
      </c>
      <c r="C27" s="245" t="s">
        <v>627</v>
      </c>
      <c r="D27" s="269">
        <v>14.6</v>
      </c>
      <c r="E27" s="270">
        <v>0</v>
      </c>
      <c r="F27" s="269"/>
      <c r="G27" s="270"/>
      <c r="H27" s="269"/>
      <c r="I27" s="270"/>
      <c r="J27" s="245" t="s">
        <v>33</v>
      </c>
      <c r="K27" s="267"/>
      <c r="L27" s="245"/>
      <c r="M27" s="246" t="s">
        <v>447</v>
      </c>
      <c r="N27" s="246" t="s">
        <v>475</v>
      </c>
    </row>
    <row r="28" spans="1:14" s="184" customFormat="1" x14ac:dyDescent="0.25">
      <c r="A28" s="267" t="s">
        <v>248</v>
      </c>
      <c r="B28" s="268">
        <v>5264802</v>
      </c>
      <c r="C28" s="245" t="s">
        <v>627</v>
      </c>
      <c r="D28" s="269">
        <v>111.93</v>
      </c>
      <c r="E28" s="270">
        <v>770</v>
      </c>
      <c r="F28" s="269"/>
      <c r="G28" s="270"/>
      <c r="H28" s="269"/>
      <c r="I28" s="270"/>
      <c r="J28" s="245" t="s">
        <v>33</v>
      </c>
      <c r="K28" s="267"/>
      <c r="L28" s="245"/>
      <c r="M28" s="246" t="s">
        <v>447</v>
      </c>
      <c r="N28" s="246" t="s">
        <v>476</v>
      </c>
    </row>
    <row r="29" spans="1:14" s="184" customFormat="1" x14ac:dyDescent="0.25">
      <c r="A29" s="267" t="s">
        <v>264</v>
      </c>
      <c r="B29" s="268">
        <v>8234139</v>
      </c>
      <c r="C29" s="289" t="s">
        <v>627</v>
      </c>
      <c r="D29" s="269">
        <v>17.62</v>
      </c>
      <c r="E29" s="270">
        <v>39</v>
      </c>
      <c r="F29" s="269"/>
      <c r="G29" s="270"/>
      <c r="H29" s="269"/>
      <c r="I29" s="270"/>
      <c r="J29" s="245" t="s">
        <v>33</v>
      </c>
      <c r="K29" s="267"/>
      <c r="L29" s="245"/>
      <c r="M29" s="246" t="s">
        <v>447</v>
      </c>
      <c r="N29" s="246" t="s">
        <v>480</v>
      </c>
    </row>
    <row r="30" spans="1:14" s="184" customFormat="1" x14ac:dyDescent="0.25">
      <c r="A30" s="267" t="s">
        <v>250</v>
      </c>
      <c r="B30" s="268">
        <v>5074495</v>
      </c>
      <c r="C30" s="245" t="s">
        <v>627</v>
      </c>
      <c r="D30" s="269">
        <v>14.6</v>
      </c>
      <c r="E30" s="270">
        <v>0</v>
      </c>
      <c r="F30" s="269"/>
      <c r="G30" s="270"/>
      <c r="H30" s="269"/>
      <c r="I30" s="270"/>
      <c r="J30" s="245" t="s">
        <v>33</v>
      </c>
      <c r="K30" s="267"/>
      <c r="L30" s="245"/>
      <c r="M30" s="246" t="s">
        <v>447</v>
      </c>
      <c r="N30" s="246" t="s">
        <v>479</v>
      </c>
    </row>
    <row r="31" spans="1:14" s="184" customFormat="1" ht="26.25" x14ac:dyDescent="0.25">
      <c r="A31" s="267" t="s">
        <v>123</v>
      </c>
      <c r="B31" s="268">
        <v>5036644</v>
      </c>
      <c r="C31" s="245" t="s">
        <v>629</v>
      </c>
      <c r="D31" s="269">
        <v>190.73</v>
      </c>
      <c r="E31" s="270">
        <v>998</v>
      </c>
      <c r="F31" s="269"/>
      <c r="G31" s="270"/>
      <c r="H31" s="269"/>
      <c r="I31" s="270"/>
      <c r="J31" s="245" t="s">
        <v>33</v>
      </c>
      <c r="K31" s="267"/>
      <c r="L31" s="245"/>
      <c r="M31" s="246" t="s">
        <v>447</v>
      </c>
      <c r="N31" s="246" t="s">
        <v>454</v>
      </c>
    </row>
    <row r="32" spans="1:14" s="184" customFormat="1" ht="26.25" x14ac:dyDescent="0.25">
      <c r="A32" s="267" t="s">
        <v>127</v>
      </c>
      <c r="B32" s="268">
        <v>5020429</v>
      </c>
      <c r="C32" s="245" t="s">
        <v>629</v>
      </c>
      <c r="D32" s="269">
        <v>22.09</v>
      </c>
      <c r="E32" s="270">
        <v>150</v>
      </c>
      <c r="F32" s="269"/>
      <c r="G32" s="270"/>
      <c r="H32" s="269"/>
      <c r="I32" s="270"/>
      <c r="J32" s="245" t="s">
        <v>33</v>
      </c>
      <c r="K32" s="267"/>
      <c r="L32" s="245"/>
      <c r="M32" s="246" t="s">
        <v>447</v>
      </c>
      <c r="N32" s="246" t="s">
        <v>471</v>
      </c>
    </row>
    <row r="33" spans="1:14" s="184" customFormat="1" ht="26.25" x14ac:dyDescent="0.25">
      <c r="A33" s="267" t="s">
        <v>125</v>
      </c>
      <c r="B33" s="268">
        <v>6722734</v>
      </c>
      <c r="C33" s="245" t="s">
        <v>629</v>
      </c>
      <c r="D33" s="269">
        <v>197.27</v>
      </c>
      <c r="E33" s="270">
        <v>1050</v>
      </c>
      <c r="F33" s="269"/>
      <c r="G33" s="270"/>
      <c r="H33" s="269"/>
      <c r="I33" s="270"/>
      <c r="J33" s="245" t="s">
        <v>33</v>
      </c>
      <c r="K33" s="267"/>
      <c r="L33" s="245"/>
      <c r="M33" s="246" t="s">
        <v>447</v>
      </c>
      <c r="N33" s="246" t="s">
        <v>455</v>
      </c>
    </row>
    <row r="34" spans="1:14" s="184" customFormat="1" x14ac:dyDescent="0.25">
      <c r="A34" s="267" t="s">
        <v>126</v>
      </c>
      <c r="B34" s="364">
        <v>5037202</v>
      </c>
      <c r="C34" s="245" t="s">
        <v>629</v>
      </c>
      <c r="D34" s="269">
        <v>170.57</v>
      </c>
      <c r="E34" s="270">
        <v>2049</v>
      </c>
      <c r="F34" s="269"/>
      <c r="G34" s="270"/>
      <c r="H34" s="269"/>
      <c r="I34" s="270"/>
      <c r="J34" s="245" t="s">
        <v>33</v>
      </c>
      <c r="K34" s="267"/>
      <c r="L34" s="245"/>
      <c r="M34" s="246" t="s">
        <v>447</v>
      </c>
      <c r="N34" s="246" t="s">
        <v>452</v>
      </c>
    </row>
    <row r="35" spans="1:14" s="184" customFormat="1" x14ac:dyDescent="0.25">
      <c r="A35" s="267" t="s">
        <v>128</v>
      </c>
      <c r="B35" s="268">
        <v>5037326</v>
      </c>
      <c r="C35" s="245" t="s">
        <v>629</v>
      </c>
      <c r="D35" s="269">
        <v>136.97</v>
      </c>
      <c r="E35" s="270">
        <v>1609</v>
      </c>
      <c r="F35" s="269"/>
      <c r="G35" s="270"/>
      <c r="H35" s="269"/>
      <c r="I35" s="270"/>
      <c r="J35" s="245" t="s">
        <v>33</v>
      </c>
      <c r="K35" s="267"/>
      <c r="L35" s="245"/>
      <c r="M35" s="246" t="s">
        <v>447</v>
      </c>
      <c r="N35" s="246" t="s">
        <v>467</v>
      </c>
    </row>
    <row r="36" spans="1:14" s="184" customFormat="1" x14ac:dyDescent="0.25">
      <c r="A36" s="267" t="s">
        <v>37</v>
      </c>
      <c r="B36" s="268">
        <v>5064854</v>
      </c>
      <c r="C36" s="245" t="s">
        <v>629</v>
      </c>
      <c r="D36" s="269">
        <v>768.27</v>
      </c>
      <c r="E36" s="270">
        <v>9240</v>
      </c>
      <c r="F36" s="269"/>
      <c r="G36" s="270"/>
      <c r="H36" s="269"/>
      <c r="I36" s="270"/>
      <c r="J36" s="245" t="s">
        <v>33</v>
      </c>
      <c r="K36" s="267"/>
      <c r="L36" s="245"/>
      <c r="M36" s="246" t="s">
        <v>447</v>
      </c>
      <c r="N36" s="246" t="s">
        <v>448</v>
      </c>
    </row>
    <row r="37" spans="1:14" s="184" customFormat="1" x14ac:dyDescent="0.25">
      <c r="A37" s="267" t="s">
        <v>32</v>
      </c>
      <c r="B37" s="268">
        <v>5021826</v>
      </c>
      <c r="C37" s="245" t="s">
        <v>629</v>
      </c>
      <c r="D37" s="269">
        <v>53.17</v>
      </c>
      <c r="E37" s="270">
        <v>496</v>
      </c>
      <c r="F37" s="269"/>
      <c r="G37" s="270"/>
      <c r="H37" s="269"/>
      <c r="I37" s="270"/>
      <c r="J37" s="245" t="s">
        <v>33</v>
      </c>
      <c r="K37" s="267"/>
      <c r="L37" s="245"/>
      <c r="M37" s="246" t="s">
        <v>447</v>
      </c>
      <c r="N37" s="246" t="s">
        <v>491</v>
      </c>
    </row>
    <row r="38" spans="1:14" s="184" customFormat="1" ht="26.25" x14ac:dyDescent="0.25">
      <c r="A38" s="267" t="s">
        <v>129</v>
      </c>
      <c r="B38" s="268">
        <v>4964784</v>
      </c>
      <c r="C38" s="245" t="s">
        <v>629</v>
      </c>
      <c r="D38" s="269">
        <v>22.53</v>
      </c>
      <c r="E38" s="270">
        <v>150</v>
      </c>
      <c r="F38" s="269"/>
      <c r="G38" s="270"/>
      <c r="H38" s="269"/>
      <c r="I38" s="270"/>
      <c r="J38" s="245" t="s">
        <v>33</v>
      </c>
      <c r="K38" s="267"/>
      <c r="L38" s="245"/>
      <c r="M38" s="246" t="s">
        <v>447</v>
      </c>
      <c r="N38" s="246" t="s">
        <v>453</v>
      </c>
    </row>
    <row r="39" spans="1:14" s="184" customFormat="1" ht="26.25" x14ac:dyDescent="0.25">
      <c r="A39" s="267" t="s">
        <v>254</v>
      </c>
      <c r="B39" s="268">
        <v>4955887</v>
      </c>
      <c r="C39" s="245" t="s">
        <v>541</v>
      </c>
      <c r="D39" s="269">
        <v>0</v>
      </c>
      <c r="E39" s="270">
        <v>0</v>
      </c>
      <c r="F39" s="269"/>
      <c r="G39" s="270"/>
      <c r="H39" s="269"/>
      <c r="I39" s="270"/>
      <c r="J39" s="245" t="s">
        <v>33</v>
      </c>
      <c r="K39" s="267"/>
      <c r="L39" s="245"/>
      <c r="M39" s="246" t="s">
        <v>447</v>
      </c>
      <c r="N39" s="246" t="s">
        <v>451</v>
      </c>
    </row>
    <row r="40" spans="1:14" s="184" customFormat="1" x14ac:dyDescent="0.25">
      <c r="A40" s="267" t="s">
        <v>64</v>
      </c>
      <c r="B40" s="268">
        <v>4932391</v>
      </c>
      <c r="C40" s="245" t="s">
        <v>630</v>
      </c>
      <c r="D40" s="269">
        <v>365.7</v>
      </c>
      <c r="E40" s="270">
        <v>3917</v>
      </c>
      <c r="F40" s="269"/>
      <c r="G40" s="270"/>
      <c r="H40" s="269"/>
      <c r="I40" s="270"/>
      <c r="J40" s="245" t="s">
        <v>33</v>
      </c>
      <c r="K40" s="267"/>
      <c r="L40" s="245"/>
      <c r="M40" s="246" t="s">
        <v>447</v>
      </c>
      <c r="N40" s="246" t="s">
        <v>470</v>
      </c>
    </row>
    <row r="41" spans="1:14" s="184" customFormat="1" ht="26.25" x14ac:dyDescent="0.25">
      <c r="A41" s="267" t="s">
        <v>28</v>
      </c>
      <c r="B41" s="268">
        <v>5265050</v>
      </c>
      <c r="C41" s="245" t="s">
        <v>631</v>
      </c>
      <c r="D41" s="269">
        <v>22.53</v>
      </c>
      <c r="E41" s="270">
        <v>150</v>
      </c>
      <c r="F41" s="269"/>
      <c r="G41" s="270"/>
      <c r="H41" s="269"/>
      <c r="I41" s="270"/>
      <c r="J41" s="245" t="s">
        <v>33</v>
      </c>
      <c r="K41" s="267"/>
      <c r="L41" s="245"/>
      <c r="M41" s="246" t="s">
        <v>447</v>
      </c>
      <c r="N41" s="246" t="s">
        <v>494</v>
      </c>
    </row>
    <row r="42" spans="1:14" s="184" customFormat="1" ht="26.25" x14ac:dyDescent="0.25">
      <c r="A42" s="267" t="s">
        <v>29</v>
      </c>
      <c r="B42" s="268">
        <v>5265019</v>
      </c>
      <c r="C42" s="245" t="s">
        <v>631</v>
      </c>
      <c r="D42" s="269">
        <v>16.03</v>
      </c>
      <c r="E42" s="270">
        <v>70</v>
      </c>
      <c r="F42" s="269"/>
      <c r="G42" s="270"/>
      <c r="H42" s="269"/>
      <c r="I42" s="270"/>
      <c r="J42" s="245" t="s">
        <v>33</v>
      </c>
      <c r="K42" s="267"/>
      <c r="L42" s="245"/>
      <c r="M42" s="246" t="s">
        <v>447</v>
      </c>
      <c r="N42" s="246" t="s">
        <v>495</v>
      </c>
    </row>
    <row r="43" spans="1:14" s="184" customFormat="1" ht="26.25" x14ac:dyDescent="0.25">
      <c r="A43" s="267" t="s">
        <v>243</v>
      </c>
      <c r="B43" s="268">
        <v>4426005</v>
      </c>
      <c r="C43" s="245" t="s">
        <v>631</v>
      </c>
      <c r="D43" s="269">
        <v>1180.6199999999999</v>
      </c>
      <c r="E43" s="270">
        <v>10500</v>
      </c>
      <c r="F43" s="269"/>
      <c r="G43" s="270"/>
      <c r="H43" s="269"/>
      <c r="I43" s="270"/>
      <c r="J43" s="245" t="s">
        <v>33</v>
      </c>
      <c r="K43" s="267"/>
      <c r="L43" s="245"/>
      <c r="M43" s="246" t="s">
        <v>447</v>
      </c>
      <c r="N43" s="246" t="s">
        <v>465</v>
      </c>
    </row>
    <row r="44" spans="1:14" s="184" customFormat="1" ht="26.25" x14ac:dyDescent="0.25">
      <c r="A44" s="267" t="s">
        <v>22</v>
      </c>
      <c r="B44" s="268">
        <v>5264554</v>
      </c>
      <c r="C44" s="245" t="s">
        <v>631</v>
      </c>
      <c r="D44" s="269">
        <v>25.61</v>
      </c>
      <c r="E44" s="270">
        <v>140</v>
      </c>
      <c r="F44" s="269"/>
      <c r="G44" s="270"/>
      <c r="H44" s="269"/>
      <c r="I44" s="270"/>
      <c r="J44" s="245" t="s">
        <v>33</v>
      </c>
      <c r="K44" s="267"/>
      <c r="L44" s="245"/>
      <c r="M44" s="246" t="s">
        <v>447</v>
      </c>
      <c r="N44" s="246" t="s">
        <v>466</v>
      </c>
    </row>
    <row r="45" spans="1:14" s="184" customFormat="1" ht="26.25" x14ac:dyDescent="0.25">
      <c r="A45" s="267" t="s">
        <v>241</v>
      </c>
      <c r="B45" s="268">
        <v>4912148</v>
      </c>
      <c r="C45" s="245" t="s">
        <v>631</v>
      </c>
      <c r="D45" s="269">
        <v>299.27999999999997</v>
      </c>
      <c r="E45" s="270">
        <v>1260</v>
      </c>
      <c r="F45" s="269"/>
      <c r="G45" s="270"/>
      <c r="H45" s="269"/>
      <c r="I45" s="270"/>
      <c r="J45" s="245" t="s">
        <v>33</v>
      </c>
      <c r="K45" s="267"/>
      <c r="L45" s="245"/>
      <c r="M45" s="246" t="s">
        <v>447</v>
      </c>
      <c r="N45" s="246" t="s">
        <v>464</v>
      </c>
    </row>
    <row r="46" spans="1:14" s="184" customFormat="1" ht="26.25" x14ac:dyDescent="0.25">
      <c r="A46" s="267" t="s">
        <v>242</v>
      </c>
      <c r="B46" s="268">
        <v>4426036</v>
      </c>
      <c r="C46" s="245" t="s">
        <v>631</v>
      </c>
      <c r="D46" s="269">
        <v>363.08</v>
      </c>
      <c r="E46" s="270">
        <v>2100</v>
      </c>
      <c r="F46" s="269"/>
      <c r="G46" s="270"/>
      <c r="H46" s="269"/>
      <c r="I46" s="270"/>
      <c r="J46" s="245" t="s">
        <v>33</v>
      </c>
      <c r="K46" s="267"/>
      <c r="L46" s="245"/>
      <c r="M46" s="246" t="s">
        <v>447</v>
      </c>
      <c r="N46" s="246" t="s">
        <v>456</v>
      </c>
    </row>
    <row r="47" spans="1:14" s="184" customFormat="1" x14ac:dyDescent="0.25">
      <c r="A47" s="267" t="s">
        <v>34</v>
      </c>
      <c r="B47" s="268" t="s">
        <v>632</v>
      </c>
      <c r="C47" s="245" t="s">
        <v>630</v>
      </c>
      <c r="D47" s="269">
        <v>971.57</v>
      </c>
      <c r="E47" s="270">
        <v>10080</v>
      </c>
      <c r="F47" s="269"/>
      <c r="G47" s="270"/>
      <c r="H47" s="269"/>
      <c r="I47" s="270"/>
      <c r="J47" s="245" t="s">
        <v>33</v>
      </c>
      <c r="K47" s="267"/>
      <c r="L47" s="245"/>
      <c r="M47" s="246" t="s">
        <v>447</v>
      </c>
      <c r="N47" s="246" t="s">
        <v>493</v>
      </c>
    </row>
    <row r="48" spans="1:14" s="184" customFormat="1" ht="26.25" x14ac:dyDescent="0.25">
      <c r="A48" s="267" t="s">
        <v>47</v>
      </c>
      <c r="B48" s="268">
        <v>4914628</v>
      </c>
      <c r="C48" s="245" t="s">
        <v>630</v>
      </c>
      <c r="D48" s="269">
        <v>743.65</v>
      </c>
      <c r="E48" s="270">
        <v>8932</v>
      </c>
      <c r="F48" s="269"/>
      <c r="G48" s="270"/>
      <c r="H48" s="269"/>
      <c r="I48" s="270"/>
      <c r="J48" s="245" t="s">
        <v>33</v>
      </c>
      <c r="K48" s="267"/>
      <c r="L48" s="245"/>
      <c r="M48" s="246" t="s">
        <v>447</v>
      </c>
      <c r="N48" s="246" t="s">
        <v>461</v>
      </c>
    </row>
    <row r="49" spans="1:14" s="184" customFormat="1" ht="26.25" x14ac:dyDescent="0.25">
      <c r="A49" s="267" t="s">
        <v>46</v>
      </c>
      <c r="B49" s="268">
        <v>5027654</v>
      </c>
      <c r="C49" s="245" t="s">
        <v>631</v>
      </c>
      <c r="D49" s="269">
        <v>312.16000000000003</v>
      </c>
      <c r="E49" s="270">
        <v>4153</v>
      </c>
      <c r="F49" s="269"/>
      <c r="G49" s="270"/>
      <c r="H49" s="269"/>
      <c r="I49" s="270"/>
      <c r="J49" s="245" t="s">
        <v>33</v>
      </c>
      <c r="K49" s="267"/>
      <c r="L49" s="245"/>
      <c r="M49" s="246" t="s">
        <v>447</v>
      </c>
      <c r="N49" s="246" t="s">
        <v>463</v>
      </c>
    </row>
    <row r="50" spans="1:14" s="184" customFormat="1" ht="29.25" customHeight="1" x14ac:dyDescent="0.25">
      <c r="A50" s="267" t="s">
        <v>585</v>
      </c>
      <c r="B50" s="268">
        <v>5262911</v>
      </c>
      <c r="C50" s="245" t="s">
        <v>630</v>
      </c>
      <c r="D50" s="269">
        <v>16.03</v>
      </c>
      <c r="E50" s="270">
        <v>70</v>
      </c>
      <c r="F50" s="269"/>
      <c r="G50" s="270"/>
      <c r="H50" s="269"/>
      <c r="I50" s="270"/>
      <c r="J50" s="245" t="s">
        <v>33</v>
      </c>
      <c r="K50" s="267"/>
      <c r="L50" s="245"/>
      <c r="M50" s="246" t="s">
        <v>447</v>
      </c>
      <c r="N50" s="246" t="s">
        <v>459</v>
      </c>
    </row>
    <row r="51" spans="1:14" s="184" customFormat="1" ht="26.25" x14ac:dyDescent="0.25">
      <c r="A51" s="267" t="s">
        <v>244</v>
      </c>
      <c r="B51" s="268">
        <v>8184322</v>
      </c>
      <c r="C51" s="245" t="s">
        <v>607</v>
      </c>
      <c r="D51" s="269">
        <v>649.95000000000005</v>
      </c>
      <c r="E51" s="270">
        <v>3760</v>
      </c>
      <c r="F51" s="269"/>
      <c r="G51" s="270"/>
      <c r="H51" s="269"/>
      <c r="I51" s="270"/>
      <c r="J51" s="245" t="s">
        <v>33</v>
      </c>
      <c r="K51" s="267"/>
      <c r="L51" s="245"/>
      <c r="M51" s="246" t="s">
        <v>447</v>
      </c>
      <c r="N51" s="246" t="s">
        <v>460</v>
      </c>
    </row>
    <row r="52" spans="1:14" s="184" customFormat="1" x14ac:dyDescent="0.25">
      <c r="A52" s="267" t="s">
        <v>38</v>
      </c>
      <c r="B52" s="268">
        <v>5231911</v>
      </c>
      <c r="C52" s="245" t="s">
        <v>631</v>
      </c>
      <c r="D52" s="269">
        <v>22.53</v>
      </c>
      <c r="E52" s="270">
        <v>150</v>
      </c>
      <c r="F52" s="269"/>
      <c r="G52" s="270"/>
      <c r="H52" s="269"/>
      <c r="I52" s="270"/>
      <c r="J52" s="245" t="s">
        <v>33</v>
      </c>
      <c r="K52" s="267"/>
      <c r="L52" s="245"/>
      <c r="M52" s="246" t="s">
        <v>447</v>
      </c>
      <c r="N52" s="246" t="s">
        <v>497</v>
      </c>
    </row>
    <row r="53" spans="1:14" s="184" customFormat="1" ht="26.25" x14ac:dyDescent="0.25">
      <c r="A53" s="267" t="s">
        <v>17</v>
      </c>
      <c r="B53" s="268">
        <v>8934894</v>
      </c>
      <c r="C53" s="245" t="s">
        <v>631</v>
      </c>
      <c r="D53" s="269">
        <v>14.6</v>
      </c>
      <c r="E53" s="270">
        <v>0</v>
      </c>
      <c r="F53" s="269"/>
      <c r="G53" s="270"/>
      <c r="H53" s="269"/>
      <c r="I53" s="270"/>
      <c r="J53" s="245" t="s">
        <v>33</v>
      </c>
      <c r="K53" s="267"/>
      <c r="L53" s="245"/>
      <c r="M53" s="246" t="s">
        <v>447</v>
      </c>
      <c r="N53" s="246" t="s">
        <v>458</v>
      </c>
    </row>
    <row r="54" spans="1:14" s="331" customFormat="1" x14ac:dyDescent="0.25">
      <c r="A54" s="325" t="s">
        <v>240</v>
      </c>
      <c r="B54" s="326">
        <v>5031405</v>
      </c>
      <c r="C54" s="327" t="s">
        <v>631</v>
      </c>
      <c r="D54" s="328">
        <v>1781.44</v>
      </c>
      <c r="E54" s="329">
        <v>21000</v>
      </c>
      <c r="F54" s="328"/>
      <c r="G54" s="329"/>
      <c r="H54" s="328"/>
      <c r="I54" s="329"/>
      <c r="J54" s="327" t="s">
        <v>33</v>
      </c>
      <c r="K54" s="325"/>
      <c r="L54" s="327"/>
      <c r="M54" s="330" t="s">
        <v>447</v>
      </c>
      <c r="N54" s="330" t="s">
        <v>457</v>
      </c>
    </row>
    <row r="55" spans="1:14" s="184" customFormat="1" ht="26.25" x14ac:dyDescent="0.25">
      <c r="A55" s="267" t="s">
        <v>26</v>
      </c>
      <c r="B55" s="268">
        <v>149091</v>
      </c>
      <c r="C55" s="245" t="s">
        <v>631</v>
      </c>
      <c r="D55" s="269">
        <v>18.78</v>
      </c>
      <c r="E55" s="270">
        <v>80</v>
      </c>
      <c r="F55" s="269"/>
      <c r="G55" s="270"/>
      <c r="H55" s="269"/>
      <c r="I55" s="270"/>
      <c r="J55" s="245" t="s">
        <v>33</v>
      </c>
      <c r="K55" s="267"/>
      <c r="L55" s="245"/>
      <c r="M55" s="246" t="s">
        <v>447</v>
      </c>
      <c r="N55" s="246" t="s">
        <v>496</v>
      </c>
    </row>
    <row r="56" spans="1:14" s="184" customFormat="1" ht="26.25" x14ac:dyDescent="0.25">
      <c r="A56" s="267" t="s">
        <v>30</v>
      </c>
      <c r="B56" s="268">
        <v>4914473</v>
      </c>
      <c r="C56" s="245" t="s">
        <v>631</v>
      </c>
      <c r="D56" s="269">
        <v>1419.76</v>
      </c>
      <c r="E56" s="270">
        <v>24420</v>
      </c>
      <c r="F56" s="269"/>
      <c r="G56" s="270"/>
      <c r="H56" s="269"/>
      <c r="I56" s="270"/>
      <c r="J56" s="245" t="s">
        <v>33</v>
      </c>
      <c r="K56" s="267"/>
      <c r="L56" s="245"/>
      <c r="M56" s="246" t="s">
        <v>447</v>
      </c>
      <c r="N56" s="246" t="s">
        <v>492</v>
      </c>
    </row>
    <row r="57" spans="1:14" s="184" customFormat="1" ht="26.25" x14ac:dyDescent="0.25">
      <c r="A57" s="267" t="s">
        <v>244</v>
      </c>
      <c r="B57" s="268">
        <v>117936</v>
      </c>
      <c r="C57" s="245" t="s">
        <v>631</v>
      </c>
      <c r="D57" s="269">
        <v>135.32</v>
      </c>
      <c r="E57" s="270">
        <v>440</v>
      </c>
      <c r="F57" s="269"/>
      <c r="G57" s="270"/>
      <c r="H57" s="269"/>
      <c r="I57" s="270"/>
      <c r="J57" s="245" t="s">
        <v>33</v>
      </c>
      <c r="K57" s="267"/>
      <c r="L57" s="245"/>
      <c r="M57" s="246" t="s">
        <v>447</v>
      </c>
      <c r="N57" s="246" t="s">
        <v>462</v>
      </c>
    </row>
    <row r="58" spans="1:14" s="184" customFormat="1" ht="39" x14ac:dyDescent="0.25">
      <c r="A58" s="267" t="s">
        <v>153</v>
      </c>
      <c r="B58" s="268">
        <v>8327232</v>
      </c>
      <c r="C58" s="245" t="s">
        <v>630</v>
      </c>
      <c r="D58" s="269">
        <v>237</v>
      </c>
      <c r="E58" s="270">
        <v>1737</v>
      </c>
      <c r="F58" s="269"/>
      <c r="G58" s="270"/>
      <c r="H58" s="269"/>
      <c r="I58" s="270"/>
      <c r="J58" s="245" t="s">
        <v>33</v>
      </c>
      <c r="K58" s="267"/>
      <c r="L58" s="245"/>
      <c r="M58" s="246" t="s">
        <v>447</v>
      </c>
      <c r="N58" s="246" t="s">
        <v>472</v>
      </c>
    </row>
    <row r="59" spans="1:14" s="184" customFormat="1" ht="26.25" x14ac:dyDescent="0.25">
      <c r="A59" s="267" t="s">
        <v>255</v>
      </c>
      <c r="B59" s="268">
        <v>6973803</v>
      </c>
      <c r="C59" s="245" t="s">
        <v>561</v>
      </c>
      <c r="D59" s="269">
        <v>0</v>
      </c>
      <c r="E59" s="270">
        <v>0</v>
      </c>
      <c r="F59" s="269"/>
      <c r="G59" s="270"/>
      <c r="H59" s="269"/>
      <c r="I59" s="270"/>
      <c r="J59" s="245" t="s">
        <v>33</v>
      </c>
      <c r="K59" s="267"/>
      <c r="L59" s="245"/>
      <c r="M59" s="246" t="s">
        <v>447</v>
      </c>
      <c r="N59" s="246" t="s">
        <v>450</v>
      </c>
    </row>
    <row r="60" spans="1:14" s="184" customFormat="1" ht="26.25" x14ac:dyDescent="0.25">
      <c r="A60" s="267" t="s">
        <v>150</v>
      </c>
      <c r="B60" s="268">
        <v>7480591</v>
      </c>
      <c r="C60" s="245" t="s">
        <v>630</v>
      </c>
      <c r="D60" s="269">
        <v>1317.9</v>
      </c>
      <c r="E60" s="270">
        <v>18676</v>
      </c>
      <c r="F60" s="269"/>
      <c r="G60" s="270"/>
      <c r="H60" s="269"/>
      <c r="I60" s="270"/>
      <c r="J60" s="245" t="s">
        <v>33</v>
      </c>
      <c r="K60" s="267"/>
      <c r="L60" s="245"/>
      <c r="M60" s="246" t="s">
        <v>447</v>
      </c>
      <c r="N60" s="246" t="s">
        <v>468</v>
      </c>
    </row>
    <row r="61" spans="1:14" s="184" customFormat="1" x14ac:dyDescent="0.25">
      <c r="A61" s="267" t="s">
        <v>253</v>
      </c>
      <c r="B61" s="268">
        <v>4934809</v>
      </c>
      <c r="C61" s="245" t="s">
        <v>561</v>
      </c>
      <c r="D61" s="269">
        <v>0</v>
      </c>
      <c r="E61" s="270">
        <v>0</v>
      </c>
      <c r="F61" s="269"/>
      <c r="G61" s="270"/>
      <c r="H61" s="269"/>
      <c r="I61" s="270"/>
      <c r="J61" s="245" t="s">
        <v>33</v>
      </c>
      <c r="K61" s="267"/>
      <c r="L61" s="245"/>
      <c r="M61" s="246" t="s">
        <v>447</v>
      </c>
      <c r="N61" s="246" t="s">
        <v>449</v>
      </c>
    </row>
    <row r="62" spans="1:14" s="184" customFormat="1" ht="26.25" x14ac:dyDescent="0.25">
      <c r="A62" s="267" t="s">
        <v>152</v>
      </c>
      <c r="B62" s="268">
        <v>9498071</v>
      </c>
      <c r="C62" s="245" t="s">
        <v>630</v>
      </c>
      <c r="D62" s="269">
        <v>361.2</v>
      </c>
      <c r="E62" s="270">
        <v>2240</v>
      </c>
      <c r="F62" s="269"/>
      <c r="G62" s="270"/>
      <c r="H62" s="269"/>
      <c r="I62" s="270"/>
      <c r="J62" s="245" t="s">
        <v>33</v>
      </c>
      <c r="K62" s="267"/>
      <c r="L62" s="245"/>
      <c r="M62" s="246" t="s">
        <v>447</v>
      </c>
      <c r="N62" s="246" t="s">
        <v>469</v>
      </c>
    </row>
    <row r="63" spans="1:14" s="184" customFormat="1" ht="26.25" x14ac:dyDescent="0.25">
      <c r="A63" s="267" t="s">
        <v>245</v>
      </c>
      <c r="B63" s="268">
        <v>4962800</v>
      </c>
      <c r="C63" s="245" t="s">
        <v>630</v>
      </c>
      <c r="D63" s="269">
        <v>27.18</v>
      </c>
      <c r="E63" s="270">
        <v>160</v>
      </c>
      <c r="F63" s="269"/>
      <c r="G63" s="270"/>
      <c r="H63" s="269"/>
      <c r="I63" s="270"/>
      <c r="J63" s="245" t="s">
        <v>33</v>
      </c>
      <c r="K63" s="267"/>
      <c r="L63" s="245"/>
      <c r="M63" s="246" t="s">
        <v>447</v>
      </c>
      <c r="N63" s="246" t="s">
        <v>473</v>
      </c>
    </row>
    <row r="64" spans="1:14" s="184" customFormat="1" x14ac:dyDescent="0.25">
      <c r="A64" s="267" t="s">
        <v>151</v>
      </c>
      <c r="B64" s="268">
        <v>710315</v>
      </c>
      <c r="C64" s="245" t="s">
        <v>630</v>
      </c>
      <c r="D64" s="269">
        <v>306.85000000000002</v>
      </c>
      <c r="E64" s="270">
        <v>3758</v>
      </c>
      <c r="F64" s="269"/>
      <c r="G64" s="270"/>
      <c r="H64" s="269"/>
      <c r="I64" s="270"/>
      <c r="J64" s="245" t="s">
        <v>33</v>
      </c>
      <c r="K64" s="267"/>
      <c r="L64" s="245"/>
      <c r="M64" s="246" t="s">
        <v>447</v>
      </c>
      <c r="N64" s="246" t="s">
        <v>474</v>
      </c>
    </row>
    <row r="65" spans="1:14" s="184" customFormat="1" ht="26.25" x14ac:dyDescent="0.25">
      <c r="A65" s="267" t="s">
        <v>24</v>
      </c>
      <c r="B65" s="268">
        <v>4892432</v>
      </c>
      <c r="C65" s="245" t="s">
        <v>623</v>
      </c>
      <c r="D65" s="269">
        <v>71.010000000000005</v>
      </c>
      <c r="E65" s="270">
        <v>714</v>
      </c>
      <c r="F65" s="269"/>
      <c r="G65" s="270"/>
      <c r="H65" s="269"/>
      <c r="I65" s="270"/>
      <c r="J65" s="245" t="s">
        <v>33</v>
      </c>
      <c r="K65" s="267"/>
      <c r="L65" s="245"/>
      <c r="M65" s="246" t="s">
        <v>447</v>
      </c>
      <c r="N65" s="246" t="s">
        <v>484</v>
      </c>
    </row>
    <row r="66" spans="1:14" s="184" customFormat="1" x14ac:dyDescent="0.25">
      <c r="A66" s="267" t="s">
        <v>21</v>
      </c>
      <c r="B66" s="268">
        <v>4968878</v>
      </c>
      <c r="C66" s="289" t="s">
        <v>623</v>
      </c>
      <c r="D66" s="269">
        <v>62.42</v>
      </c>
      <c r="E66" s="270">
        <v>615</v>
      </c>
      <c r="F66" s="269"/>
      <c r="G66" s="270"/>
      <c r="H66" s="269"/>
      <c r="I66" s="270"/>
      <c r="J66" s="245" t="s">
        <v>33</v>
      </c>
      <c r="K66" s="267"/>
      <c r="L66" s="245"/>
      <c r="M66" s="246" t="s">
        <v>447</v>
      </c>
      <c r="N66" s="246" t="s">
        <v>482</v>
      </c>
    </row>
    <row r="67" spans="1:14" s="184" customFormat="1" ht="26.25" x14ac:dyDescent="0.25">
      <c r="A67" s="267" t="s">
        <v>31</v>
      </c>
      <c r="B67" s="268">
        <v>5041139</v>
      </c>
      <c r="C67" s="245" t="s">
        <v>623</v>
      </c>
      <c r="D67" s="269">
        <v>90.96</v>
      </c>
      <c r="E67" s="270">
        <v>982</v>
      </c>
      <c r="F67" s="269"/>
      <c r="G67" s="270"/>
      <c r="H67" s="269"/>
      <c r="I67" s="270"/>
      <c r="J67" s="245" t="s">
        <v>33</v>
      </c>
      <c r="K67" s="267"/>
      <c r="L67" s="245"/>
      <c r="M67" s="246" t="s">
        <v>447</v>
      </c>
      <c r="N67" s="246" t="s">
        <v>488</v>
      </c>
    </row>
    <row r="68" spans="1:14" s="184" customFormat="1" ht="39" x14ac:dyDescent="0.25">
      <c r="A68" s="267" t="s">
        <v>751</v>
      </c>
      <c r="B68" s="268">
        <v>5276024</v>
      </c>
      <c r="C68" s="245" t="s">
        <v>623</v>
      </c>
      <c r="D68" s="269">
        <v>22.5</v>
      </c>
      <c r="E68" s="270">
        <v>150</v>
      </c>
      <c r="F68" s="269"/>
      <c r="G68" s="270"/>
      <c r="H68" s="269"/>
      <c r="I68" s="270"/>
      <c r="J68" s="245" t="s">
        <v>33</v>
      </c>
      <c r="K68" s="267"/>
      <c r="L68" s="245"/>
      <c r="M68" s="246" t="s">
        <v>447</v>
      </c>
      <c r="N68" s="246" t="s">
        <v>489</v>
      </c>
    </row>
    <row r="69" spans="1:14" s="184" customFormat="1" x14ac:dyDescent="0.25">
      <c r="A69" s="267" t="s">
        <v>250</v>
      </c>
      <c r="B69" s="268">
        <v>7391</v>
      </c>
      <c r="C69" s="245" t="s">
        <v>627</v>
      </c>
      <c r="D69" s="269">
        <v>17.71</v>
      </c>
      <c r="E69" s="270">
        <v>40</v>
      </c>
      <c r="F69" s="269"/>
      <c r="G69" s="270"/>
      <c r="H69" s="269"/>
      <c r="I69" s="270"/>
      <c r="J69" s="245" t="s">
        <v>33</v>
      </c>
      <c r="K69" s="267"/>
      <c r="L69" s="245"/>
      <c r="M69" s="246" t="s">
        <v>447</v>
      </c>
      <c r="N69" s="246" t="s">
        <v>477</v>
      </c>
    </row>
    <row r="70" spans="1:14" s="184" customFormat="1" x14ac:dyDescent="0.25">
      <c r="A70" s="267" t="s">
        <v>250</v>
      </c>
      <c r="B70" s="268">
        <v>7422</v>
      </c>
      <c r="C70" s="245" t="s">
        <v>627</v>
      </c>
      <c r="D70" s="269">
        <v>14.6</v>
      </c>
      <c r="E70" s="270">
        <v>0</v>
      </c>
      <c r="F70" s="269"/>
      <c r="G70" s="270"/>
      <c r="H70" s="269"/>
      <c r="I70" s="270"/>
      <c r="J70" s="245" t="s">
        <v>33</v>
      </c>
      <c r="K70" s="267"/>
      <c r="L70" s="245"/>
      <c r="M70" s="246" t="s">
        <v>447</v>
      </c>
      <c r="N70" s="246" t="s">
        <v>478</v>
      </c>
    </row>
    <row r="71" spans="1:14" s="533" customFormat="1" ht="26.25" x14ac:dyDescent="0.25">
      <c r="A71" s="280" t="s">
        <v>755</v>
      </c>
      <c r="B71" s="281"/>
      <c r="C71" s="247" t="s">
        <v>762</v>
      </c>
      <c r="D71" s="530"/>
      <c r="E71" s="531"/>
      <c r="F71" s="530"/>
      <c r="G71" s="531"/>
      <c r="H71" s="530"/>
      <c r="I71" s="531"/>
      <c r="J71" s="247"/>
      <c r="K71" s="280"/>
      <c r="L71" s="247"/>
      <c r="M71" s="532" t="s">
        <v>758</v>
      </c>
      <c r="N71" s="532" t="s">
        <v>760</v>
      </c>
    </row>
    <row r="72" spans="1:14" s="149" customFormat="1" ht="21" customHeight="1" x14ac:dyDescent="0.25">
      <c r="A72" s="262" t="s">
        <v>756</v>
      </c>
      <c r="B72" s="262">
        <v>5217000077</v>
      </c>
      <c r="C72" s="262" t="s">
        <v>757</v>
      </c>
      <c r="D72" s="262">
        <v>54.11</v>
      </c>
      <c r="E72" s="264">
        <v>56</v>
      </c>
      <c r="F72" s="262" t="s">
        <v>761</v>
      </c>
      <c r="G72" s="264"/>
      <c r="H72" s="262"/>
      <c r="I72" s="264"/>
      <c r="J72" s="262"/>
      <c r="K72" s="262"/>
      <c r="L72" s="262"/>
      <c r="M72" s="265" t="s">
        <v>759</v>
      </c>
      <c r="N72" s="265">
        <v>5217000077</v>
      </c>
    </row>
    <row r="73" spans="1:14" s="150" customFormat="1" x14ac:dyDescent="0.25">
      <c r="A73" s="293"/>
      <c r="B73" s="293"/>
      <c r="C73" s="293"/>
      <c r="D73" s="293"/>
      <c r="E73" s="294"/>
      <c r="F73" s="293"/>
      <c r="G73" s="294"/>
      <c r="H73" s="293"/>
      <c r="I73" s="294"/>
      <c r="J73" s="293"/>
      <c r="K73" s="293"/>
      <c r="L73" s="293"/>
      <c r="M73" s="295"/>
      <c r="N73" s="295"/>
    </row>
    <row r="79" spans="1:14" s="199" customFormat="1" ht="39" x14ac:dyDescent="0.25">
      <c r="A79" s="280" t="s">
        <v>435</v>
      </c>
      <c r="B79" s="281"/>
      <c r="C79" s="249"/>
      <c r="D79" s="250"/>
      <c r="E79" s="251"/>
      <c r="F79" s="250"/>
      <c r="G79" s="251"/>
      <c r="H79" s="250"/>
      <c r="I79" s="251"/>
      <c r="J79" s="249"/>
      <c r="K79" s="252"/>
      <c r="L79" s="249"/>
      <c r="M79" s="253"/>
      <c r="N79" s="253"/>
    </row>
    <row r="80" spans="1:14" s="149" customFormat="1" ht="39" x14ac:dyDescent="0.25">
      <c r="A80" s="260" t="s">
        <v>51</v>
      </c>
      <c r="B80" s="261" t="s">
        <v>208</v>
      </c>
      <c r="C80" s="266" t="s">
        <v>746</v>
      </c>
      <c r="D80" s="263">
        <v>221</v>
      </c>
      <c r="E80" s="264">
        <v>1831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39" x14ac:dyDescent="0.25">
      <c r="A81" s="260" t="s">
        <v>52</v>
      </c>
      <c r="B81" s="261" t="s">
        <v>209</v>
      </c>
      <c r="C81" s="266" t="s">
        <v>746</v>
      </c>
      <c r="D81" s="263">
        <v>207</v>
      </c>
      <c r="E81" s="264">
        <v>1509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39" x14ac:dyDescent="0.25">
      <c r="A82" s="260" t="s">
        <v>747</v>
      </c>
      <c r="B82" s="261">
        <v>7039100</v>
      </c>
      <c r="C82" s="266" t="s">
        <v>746</v>
      </c>
      <c r="D82" s="263">
        <v>120</v>
      </c>
      <c r="E82" s="264">
        <v>670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55</v>
      </c>
      <c r="B83" s="261" t="s">
        <v>212</v>
      </c>
      <c r="C83" s="266" t="s">
        <v>746</v>
      </c>
      <c r="D83" s="263">
        <v>47</v>
      </c>
      <c r="E83" s="264">
        <v>156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56</v>
      </c>
      <c r="B84" s="261" t="s">
        <v>213</v>
      </c>
      <c r="C84" s="266" t="s">
        <v>746</v>
      </c>
      <c r="D84" s="263">
        <v>38</v>
      </c>
      <c r="E84" s="264">
        <v>75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ht="26.25" x14ac:dyDescent="0.25">
      <c r="A85" s="260" t="s">
        <v>57</v>
      </c>
      <c r="B85" s="261" t="s">
        <v>214</v>
      </c>
      <c r="C85" s="266" t="s">
        <v>746</v>
      </c>
      <c r="D85" s="263">
        <v>380</v>
      </c>
      <c r="E85" s="264">
        <v>3165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58</v>
      </c>
      <c r="B86" s="261" t="s">
        <v>215</v>
      </c>
      <c r="C86" s="266" t="s">
        <v>746</v>
      </c>
      <c r="D86" s="263">
        <v>400</v>
      </c>
      <c r="E86" s="264">
        <v>3636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59</v>
      </c>
      <c r="B87" s="261" t="s">
        <v>216</v>
      </c>
      <c r="C87" s="266" t="s">
        <v>746</v>
      </c>
      <c r="D87" s="263">
        <v>63</v>
      </c>
      <c r="E87" s="264">
        <v>308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60</v>
      </c>
      <c r="B88" s="261" t="s">
        <v>217</v>
      </c>
      <c r="C88" s="266" t="s">
        <v>746</v>
      </c>
      <c r="D88" s="263">
        <v>60</v>
      </c>
      <c r="E88" s="264">
        <v>91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61</v>
      </c>
      <c r="B89" s="261" t="s">
        <v>218</v>
      </c>
      <c r="C89" s="266" t="s">
        <v>746</v>
      </c>
      <c r="D89" s="263">
        <v>31</v>
      </c>
      <c r="E89" s="264">
        <v>3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ht="26.25" x14ac:dyDescent="0.25">
      <c r="A90" s="260" t="s">
        <v>62</v>
      </c>
      <c r="B90" s="261" t="s">
        <v>219</v>
      </c>
      <c r="C90" s="266" t="s">
        <v>746</v>
      </c>
      <c r="D90" s="263">
        <v>34</v>
      </c>
      <c r="E90" s="264">
        <v>34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8" customFormat="1" x14ac:dyDescent="0.25">
      <c r="A91" s="254" t="s">
        <v>621</v>
      </c>
      <c r="B91" s="255" t="s">
        <v>201</v>
      </c>
      <c r="C91" s="256" t="s">
        <v>746</v>
      </c>
      <c r="D91" s="257">
        <v>77</v>
      </c>
      <c r="E91" s="258">
        <v>273</v>
      </c>
      <c r="F91" s="257"/>
      <c r="G91" s="258"/>
      <c r="H91" s="257"/>
      <c r="I91" s="258"/>
      <c r="J91" s="256" t="s">
        <v>33</v>
      </c>
      <c r="K91" s="254"/>
      <c r="L91" s="256"/>
      <c r="M91" s="259"/>
      <c r="N91" s="259"/>
    </row>
    <row r="92" spans="1:14" s="149" customFormat="1" ht="26.25" x14ac:dyDescent="0.25">
      <c r="A92" s="260" t="s">
        <v>95</v>
      </c>
      <c r="B92" s="261" t="s">
        <v>202</v>
      </c>
      <c r="C92" s="262" t="s">
        <v>746</v>
      </c>
      <c r="D92" s="263">
        <v>1626</v>
      </c>
      <c r="E92" s="264">
        <v>15120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x14ac:dyDescent="0.25">
      <c r="A93" s="260" t="s">
        <v>96</v>
      </c>
      <c r="B93" s="261">
        <v>7215400</v>
      </c>
      <c r="C93" s="262" t="s">
        <v>746</v>
      </c>
      <c r="D93" s="263">
        <v>57</v>
      </c>
      <c r="E93" s="264">
        <v>172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97</v>
      </c>
      <c r="B94" s="261" t="s">
        <v>204</v>
      </c>
      <c r="C94" s="262" t="s">
        <v>746</v>
      </c>
      <c r="D94" s="263">
        <v>58</v>
      </c>
      <c r="E94" s="264">
        <v>11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98</v>
      </c>
      <c r="B95" s="261" t="s">
        <v>205</v>
      </c>
      <c r="C95" s="262" t="s">
        <v>746</v>
      </c>
      <c r="D95" s="263">
        <v>30</v>
      </c>
      <c r="E95" s="264">
        <v>125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99</v>
      </c>
      <c r="B96" s="261" t="s">
        <v>206</v>
      </c>
      <c r="C96" s="262" t="s">
        <v>746</v>
      </c>
      <c r="D96" s="263">
        <v>78</v>
      </c>
      <c r="E96" s="264">
        <v>379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49" customFormat="1" ht="26.25" x14ac:dyDescent="0.25">
      <c r="A97" s="260" t="s">
        <v>100</v>
      </c>
      <c r="B97" s="282">
        <v>1323346600</v>
      </c>
      <c r="C97" s="262" t="s">
        <v>746</v>
      </c>
      <c r="D97" s="263">
        <v>165</v>
      </c>
      <c r="E97" s="264">
        <v>3600</v>
      </c>
      <c r="F97" s="263"/>
      <c r="G97" s="264"/>
      <c r="H97" s="263"/>
      <c r="I97" s="264"/>
      <c r="J97" s="262" t="s">
        <v>33</v>
      </c>
      <c r="K97" s="260"/>
      <c r="L97" s="262"/>
      <c r="M97" s="265"/>
      <c r="N97" s="265"/>
    </row>
    <row r="98" spans="1:14" s="149" customFormat="1" x14ac:dyDescent="0.25">
      <c r="A98" s="260" t="s">
        <v>101</v>
      </c>
      <c r="B98" s="282">
        <v>1322699400</v>
      </c>
      <c r="C98" s="262" t="s">
        <v>746</v>
      </c>
      <c r="D98" s="263">
        <v>435</v>
      </c>
      <c r="E98" s="264">
        <v>3360</v>
      </c>
      <c r="F98" s="263"/>
      <c r="G98" s="264"/>
      <c r="H98" s="263"/>
      <c r="I98" s="264"/>
      <c r="J98" s="262" t="s">
        <v>33</v>
      </c>
      <c r="K98" s="260"/>
      <c r="L98" s="262"/>
      <c r="M98" s="265"/>
      <c r="N98" s="265"/>
    </row>
    <row r="99" spans="1:14" s="352" customFormat="1" ht="26.25" x14ac:dyDescent="0.25">
      <c r="A99" s="346" t="s">
        <v>617</v>
      </c>
      <c r="B99" s="347" t="s">
        <v>200</v>
      </c>
      <c r="C99" s="348" t="s">
        <v>746</v>
      </c>
      <c r="D99" s="349">
        <v>295</v>
      </c>
      <c r="E99" s="350">
        <v>8.08</v>
      </c>
      <c r="F99" s="349"/>
      <c r="G99" s="350"/>
      <c r="H99" s="349"/>
      <c r="I99" s="350"/>
      <c r="J99" s="348" t="s">
        <v>33</v>
      </c>
      <c r="K99" s="346"/>
      <c r="L99" s="348"/>
      <c r="M99" s="351"/>
      <c r="N99" s="351"/>
    </row>
    <row r="100" spans="1:14" s="149" customFormat="1" ht="26.25" x14ac:dyDescent="0.25">
      <c r="A100" s="260" t="s">
        <v>110</v>
      </c>
      <c r="B100" s="261" t="s">
        <v>207</v>
      </c>
      <c r="C100" s="266" t="s">
        <v>746</v>
      </c>
      <c r="D100" s="263">
        <v>150</v>
      </c>
      <c r="E100" s="264">
        <v>508</v>
      </c>
      <c r="F100" s="263"/>
      <c r="G100" s="264"/>
      <c r="H100" s="263"/>
      <c r="I100" s="264"/>
      <c r="J100" s="262" t="s">
        <v>33</v>
      </c>
      <c r="K100" s="260"/>
      <c r="L100" s="262"/>
      <c r="M100" s="265"/>
      <c r="N100" s="265"/>
    </row>
    <row r="101" spans="1:14" s="149" customFormat="1" ht="26.25" x14ac:dyDescent="0.25">
      <c r="A101" s="260" t="s">
        <v>111</v>
      </c>
      <c r="B101" s="261" t="s">
        <v>222</v>
      </c>
      <c r="C101" s="262" t="s">
        <v>746</v>
      </c>
      <c r="D101" s="263">
        <v>55</v>
      </c>
      <c r="E101" s="264">
        <v>44</v>
      </c>
      <c r="F101" s="263"/>
      <c r="G101" s="264"/>
      <c r="H101" s="263"/>
      <c r="I101" s="264"/>
      <c r="J101" s="262" t="s">
        <v>33</v>
      </c>
      <c r="K101" s="260"/>
      <c r="L101" s="262"/>
      <c r="M101" s="265"/>
      <c r="N101" s="265"/>
    </row>
    <row r="102" spans="1:14" s="149" customFormat="1" ht="26.25" x14ac:dyDescent="0.25">
      <c r="A102" s="260" t="s">
        <v>117</v>
      </c>
      <c r="B102" s="261" t="s">
        <v>220</v>
      </c>
      <c r="C102" s="262" t="s">
        <v>746</v>
      </c>
      <c r="D102" s="263">
        <v>99</v>
      </c>
      <c r="E102" s="264">
        <v>460</v>
      </c>
      <c r="F102" s="263"/>
      <c r="G102" s="264"/>
      <c r="H102" s="263"/>
      <c r="I102" s="264"/>
      <c r="J102" s="262" t="s">
        <v>33</v>
      </c>
      <c r="K102" s="260"/>
      <c r="L102" s="262"/>
      <c r="M102" s="265"/>
      <c r="N102" s="265"/>
    </row>
    <row r="103" spans="1:14" s="149" customFormat="1" ht="26.25" x14ac:dyDescent="0.25">
      <c r="A103" s="260" t="s">
        <v>118</v>
      </c>
      <c r="B103" s="261" t="s">
        <v>221</v>
      </c>
      <c r="C103" s="266" t="s">
        <v>746</v>
      </c>
      <c r="D103" s="263">
        <v>103</v>
      </c>
      <c r="E103" s="264">
        <v>699</v>
      </c>
      <c r="F103" s="263"/>
      <c r="G103" s="264"/>
      <c r="H103" s="263"/>
      <c r="I103" s="264"/>
      <c r="J103" s="262" t="s">
        <v>33</v>
      </c>
      <c r="K103" s="260"/>
      <c r="L103" s="262"/>
      <c r="M103" s="265"/>
      <c r="N103" s="265"/>
    </row>
    <row r="104" spans="1:14" s="149" customFormat="1" x14ac:dyDescent="0.25">
      <c r="A104" s="260" t="s">
        <v>701</v>
      </c>
      <c r="B104" s="261">
        <v>1323115001</v>
      </c>
      <c r="C104" s="266" t="s">
        <v>746</v>
      </c>
      <c r="D104" s="263">
        <v>1025</v>
      </c>
      <c r="E104" s="264">
        <v>9120</v>
      </c>
      <c r="F104" s="263"/>
      <c r="G104" s="264"/>
      <c r="H104" s="263"/>
      <c r="I104" s="264"/>
      <c r="J104" s="262"/>
      <c r="K104" s="260"/>
      <c r="L104" s="262"/>
      <c r="M104" s="265"/>
      <c r="N104" s="265"/>
    </row>
    <row r="105" spans="1:14" s="149" customFormat="1" x14ac:dyDescent="0.25">
      <c r="A105" s="260" t="s">
        <v>683</v>
      </c>
      <c r="B105" s="261">
        <v>1322673502</v>
      </c>
      <c r="C105" s="266" t="s">
        <v>746</v>
      </c>
      <c r="D105" s="263">
        <v>133</v>
      </c>
      <c r="E105" s="264">
        <v>789</v>
      </c>
      <c r="F105" s="263"/>
      <c r="G105" s="264"/>
      <c r="H105" s="263"/>
      <c r="I105" s="264"/>
      <c r="J105" s="262"/>
      <c r="K105" s="260"/>
      <c r="L105" s="262"/>
      <c r="M105" s="265"/>
      <c r="N105" s="265"/>
    </row>
    <row r="106" spans="1:14" s="149" customFormat="1" x14ac:dyDescent="0.25">
      <c r="A106" s="260" t="s">
        <v>702</v>
      </c>
      <c r="B106" s="261">
        <v>1322725900</v>
      </c>
      <c r="C106" s="266" t="s">
        <v>746</v>
      </c>
      <c r="D106" s="263">
        <v>751</v>
      </c>
      <c r="E106" s="264">
        <v>6600</v>
      </c>
      <c r="F106" s="263"/>
      <c r="G106" s="264"/>
      <c r="H106" s="263"/>
      <c r="I106" s="264"/>
      <c r="J106" s="262"/>
      <c r="K106" s="260"/>
      <c r="L106" s="262"/>
      <c r="M106" s="265"/>
      <c r="N106" s="265"/>
    </row>
    <row r="107" spans="1:14" s="199" customFormat="1" x14ac:dyDescent="0.25">
      <c r="A107" s="280" t="s">
        <v>434</v>
      </c>
      <c r="B107" s="281"/>
      <c r="C107" s="249">
        <v>0</v>
      </c>
      <c r="D107" s="250"/>
      <c r="E107" s="251"/>
      <c r="F107" s="250"/>
      <c r="G107" s="251"/>
      <c r="H107" s="250"/>
      <c r="I107" s="251"/>
      <c r="J107" s="249"/>
      <c r="K107" s="252"/>
      <c r="L107" s="249"/>
      <c r="M107" s="253"/>
      <c r="N107" s="253"/>
    </row>
    <row r="108" spans="1:14" s="149" customFormat="1" x14ac:dyDescent="0.25">
      <c r="A108" s="260" t="s">
        <v>65</v>
      </c>
      <c r="B108" s="261" t="s">
        <v>163</v>
      </c>
      <c r="C108" s="262" t="s">
        <v>746</v>
      </c>
      <c r="D108" s="263"/>
      <c r="E108" s="264"/>
      <c r="F108" s="263"/>
      <c r="G108" s="264"/>
      <c r="H108" s="263">
        <v>123.11</v>
      </c>
      <c r="I108" s="264">
        <v>172</v>
      </c>
      <c r="J108" s="262"/>
      <c r="K108" s="260"/>
      <c r="L108" s="262"/>
      <c r="M108" s="265"/>
      <c r="N108" s="265"/>
    </row>
    <row r="109" spans="1:14" s="149" customFormat="1" x14ac:dyDescent="0.25">
      <c r="A109" s="260" t="s">
        <v>37</v>
      </c>
      <c r="B109" s="261" t="s">
        <v>190</v>
      </c>
      <c r="C109" s="262" t="s">
        <v>746</v>
      </c>
      <c r="D109" s="263"/>
      <c r="E109" s="264"/>
      <c r="F109" s="263"/>
      <c r="G109" s="264"/>
      <c r="H109" s="263">
        <v>67.3</v>
      </c>
      <c r="I109" s="264">
        <v>83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71</v>
      </c>
      <c r="B110" s="261" t="s">
        <v>188</v>
      </c>
      <c r="C110" s="262" t="s">
        <v>746</v>
      </c>
      <c r="D110" s="263"/>
      <c r="E110" s="264"/>
      <c r="F110" s="263"/>
      <c r="G110" s="264"/>
      <c r="H110" s="263">
        <v>33.659999999999997</v>
      </c>
      <c r="I110" s="264">
        <v>80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72</v>
      </c>
      <c r="B111" s="261" t="s">
        <v>187</v>
      </c>
      <c r="C111" s="262" t="s">
        <v>746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73</v>
      </c>
      <c r="B112" s="261" t="s">
        <v>171</v>
      </c>
      <c r="C112" s="262" t="s">
        <v>746</v>
      </c>
      <c r="D112" s="263"/>
      <c r="E112" s="264"/>
      <c r="F112" s="263"/>
      <c r="G112" s="264"/>
      <c r="H112" s="263">
        <v>35.799999999999997</v>
      </c>
      <c r="I112" s="264">
        <v>24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74</v>
      </c>
      <c r="B113" s="261" t="s">
        <v>170</v>
      </c>
      <c r="C113" s="262" t="s">
        <v>746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75</v>
      </c>
      <c r="B114" s="261" t="s">
        <v>189</v>
      </c>
      <c r="C114" s="262" t="s">
        <v>746</v>
      </c>
      <c r="D114" s="263"/>
      <c r="E114" s="264"/>
      <c r="F114" s="263"/>
      <c r="G114" s="264"/>
      <c r="H114" s="263">
        <v>52.88</v>
      </c>
      <c r="I114" s="264">
        <v>52.88</v>
      </c>
      <c r="J114" s="262"/>
      <c r="K114" s="260"/>
      <c r="L114" s="262"/>
      <c r="M114" s="265"/>
      <c r="N114" s="265"/>
    </row>
    <row r="115" spans="1:14" s="149" customFormat="1" ht="26.25" x14ac:dyDescent="0.25">
      <c r="A115" s="260" t="s">
        <v>76</v>
      </c>
      <c r="B115" s="261" t="s">
        <v>169</v>
      </c>
      <c r="C115" s="262" t="s">
        <v>746</v>
      </c>
      <c r="D115" s="263"/>
      <c r="E115" s="264"/>
      <c r="F115" s="263"/>
      <c r="G115" s="264"/>
      <c r="H115" s="263">
        <v>33.659999999999997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77</v>
      </c>
      <c r="B116" s="261" t="s">
        <v>168</v>
      </c>
      <c r="C116" s="262" t="s">
        <v>746</v>
      </c>
      <c r="D116" s="263"/>
      <c r="E116" s="264"/>
      <c r="F116" s="263"/>
      <c r="G116" s="264"/>
      <c r="H116" s="263">
        <v>79.63</v>
      </c>
      <c r="I116" s="264">
        <v>105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78</v>
      </c>
      <c r="B117" s="261" t="s">
        <v>197</v>
      </c>
      <c r="C117" s="262" t="s">
        <v>746</v>
      </c>
      <c r="D117" s="263"/>
      <c r="E117" s="264"/>
      <c r="F117" s="263"/>
      <c r="G117" s="264"/>
      <c r="H117" s="263">
        <v>33.659999999999997</v>
      </c>
      <c r="I117" s="264">
        <v>9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79</v>
      </c>
      <c r="B118" s="261" t="s">
        <v>167</v>
      </c>
      <c r="C118" s="266" t="s">
        <v>746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0"/>
      <c r="L118" s="262"/>
      <c r="M118" s="265"/>
      <c r="N118" s="265"/>
    </row>
    <row r="119" spans="1:14" s="149" customFormat="1" ht="51.75" x14ac:dyDescent="0.25">
      <c r="A119" s="283" t="s">
        <v>80</v>
      </c>
      <c r="B119" s="284" t="s">
        <v>177</v>
      </c>
      <c r="C119" s="285" t="s">
        <v>746</v>
      </c>
      <c r="D119" s="286"/>
      <c r="E119" s="287"/>
      <c r="F119" s="286"/>
      <c r="G119" s="287"/>
      <c r="H119" s="286">
        <v>33.659999999999997</v>
      </c>
      <c r="I119" s="287">
        <v>0</v>
      </c>
      <c r="J119" s="288"/>
      <c r="K119" s="283" t="s">
        <v>315</v>
      </c>
      <c r="L119" s="262"/>
      <c r="M119" s="265"/>
      <c r="N119" s="265"/>
    </row>
    <row r="120" spans="1:14" s="149" customFormat="1" x14ac:dyDescent="0.25">
      <c r="A120" s="260" t="s">
        <v>81</v>
      </c>
      <c r="B120" s="261" t="s">
        <v>180</v>
      </c>
      <c r="C120" s="262" t="s">
        <v>746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0"/>
      <c r="L120" s="262"/>
      <c r="M120" s="265"/>
      <c r="N120" s="265"/>
    </row>
    <row r="121" spans="1:14" s="149" customFormat="1" x14ac:dyDescent="0.25">
      <c r="A121" s="260" t="s">
        <v>82</v>
      </c>
      <c r="B121" s="261" t="s">
        <v>179</v>
      </c>
      <c r="C121" s="262" t="s">
        <v>746</v>
      </c>
      <c r="D121" s="263"/>
      <c r="E121" s="264"/>
      <c r="F121" s="263"/>
      <c r="G121" s="264"/>
      <c r="H121" s="263">
        <v>42.2</v>
      </c>
      <c r="I121" s="264">
        <v>36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83</v>
      </c>
      <c r="B122" s="261" t="s">
        <v>178</v>
      </c>
      <c r="C122" s="262" t="s">
        <v>746</v>
      </c>
      <c r="D122" s="263"/>
      <c r="E122" s="264"/>
      <c r="F122" s="263"/>
      <c r="G122" s="264"/>
      <c r="H122" s="263">
        <v>33.659999999999997</v>
      </c>
      <c r="I122" s="264">
        <v>6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84</v>
      </c>
      <c r="B123" s="261" t="s">
        <v>175</v>
      </c>
      <c r="C123" s="262" t="s">
        <v>746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85</v>
      </c>
      <c r="B124" s="261" t="s">
        <v>184</v>
      </c>
      <c r="C124" s="262" t="s">
        <v>746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0"/>
      <c r="L124" s="262"/>
      <c r="M124" s="265"/>
      <c r="N124" s="265"/>
    </row>
    <row r="125" spans="1:14" s="149" customFormat="1" ht="26.25" x14ac:dyDescent="0.25">
      <c r="A125" s="260" t="s">
        <v>86</v>
      </c>
      <c r="B125" s="261" t="s">
        <v>185</v>
      </c>
      <c r="C125" s="262" t="s">
        <v>746</v>
      </c>
      <c r="D125" s="263"/>
      <c r="E125" s="264"/>
      <c r="F125" s="263"/>
      <c r="G125" s="264"/>
      <c r="H125" s="263">
        <v>33.659999999999997</v>
      </c>
      <c r="I125" s="264">
        <v>1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87</v>
      </c>
      <c r="B126" s="261" t="s">
        <v>181</v>
      </c>
      <c r="C126" s="262" t="s">
        <v>746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88</v>
      </c>
      <c r="B127" s="261" t="s">
        <v>172</v>
      </c>
      <c r="C127" s="262" t="s">
        <v>746</v>
      </c>
      <c r="D127" s="263"/>
      <c r="E127" s="264"/>
      <c r="F127" s="263"/>
      <c r="G127" s="264"/>
      <c r="H127" s="263">
        <v>33.659999999999997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89</v>
      </c>
      <c r="B128" s="261" t="s">
        <v>173</v>
      </c>
      <c r="C128" s="262" t="s">
        <v>746</v>
      </c>
      <c r="D128" s="263"/>
      <c r="E128" s="264"/>
      <c r="F128" s="263"/>
      <c r="G128" s="264"/>
      <c r="H128" s="263">
        <v>33.659999999999997</v>
      </c>
      <c r="I128" s="264">
        <v>6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90</v>
      </c>
      <c r="B129" s="261" t="s">
        <v>174</v>
      </c>
      <c r="C129" s="262" t="s">
        <v>746</v>
      </c>
      <c r="D129" s="263"/>
      <c r="E129" s="264"/>
      <c r="F129" s="263"/>
      <c r="G129" s="264"/>
      <c r="H129" s="263">
        <v>33.659999999999997</v>
      </c>
      <c r="I129" s="264">
        <v>0</v>
      </c>
      <c r="J129" s="262"/>
      <c r="K129" s="260"/>
      <c r="L129" s="262"/>
      <c r="M129" s="265"/>
      <c r="N129" s="265"/>
    </row>
    <row r="130" spans="1:14" s="149" customFormat="1" x14ac:dyDescent="0.25">
      <c r="A130" s="260" t="s">
        <v>91</v>
      </c>
      <c r="B130" s="261" t="s">
        <v>182</v>
      </c>
      <c r="C130" s="262" t="s">
        <v>746</v>
      </c>
      <c r="D130" s="263"/>
      <c r="E130" s="264"/>
      <c r="F130" s="263"/>
      <c r="G130" s="264"/>
      <c r="H130" s="263">
        <v>33.659999999999997</v>
      </c>
      <c r="I130" s="264">
        <v>5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92</v>
      </c>
      <c r="B131" s="261" t="s">
        <v>186</v>
      </c>
      <c r="C131" s="262" t="s">
        <v>746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93</v>
      </c>
      <c r="B132" s="261" t="s">
        <v>183</v>
      </c>
      <c r="C132" s="262" t="s">
        <v>746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103</v>
      </c>
      <c r="B133" s="261" t="s">
        <v>194</v>
      </c>
      <c r="C133" s="262" t="s">
        <v>746</v>
      </c>
      <c r="D133" s="263"/>
      <c r="E133" s="264"/>
      <c r="F133" s="263"/>
      <c r="G133" s="264"/>
      <c r="H133" s="263">
        <v>33.659999999999997</v>
      </c>
      <c r="I133" s="264">
        <v>4</v>
      </c>
      <c r="J133" s="262"/>
      <c r="K133" s="260"/>
      <c r="L133" s="262"/>
      <c r="M133" s="265"/>
      <c r="N133" s="265"/>
    </row>
    <row r="134" spans="1:14" s="184" customFormat="1" ht="26.25" x14ac:dyDescent="0.25">
      <c r="A134" s="267" t="s">
        <v>104</v>
      </c>
      <c r="B134" s="268" t="s">
        <v>195</v>
      </c>
      <c r="C134" s="245" t="s">
        <v>577</v>
      </c>
      <c r="D134" s="269"/>
      <c r="E134" s="270"/>
      <c r="F134" s="269"/>
      <c r="G134" s="270"/>
      <c r="H134" s="269">
        <v>31.16</v>
      </c>
      <c r="I134" s="270">
        <v>0</v>
      </c>
      <c r="J134" s="245"/>
      <c r="K134" s="267"/>
      <c r="L134" s="245"/>
      <c r="M134" s="246"/>
      <c r="N134" s="246"/>
    </row>
    <row r="135" spans="1:14" s="149" customFormat="1" x14ac:dyDescent="0.25">
      <c r="A135" s="260" t="s">
        <v>105</v>
      </c>
      <c r="B135" s="261" t="s">
        <v>196</v>
      </c>
      <c r="C135" s="262" t="s">
        <v>746</v>
      </c>
      <c r="D135" s="263"/>
      <c r="E135" s="264"/>
      <c r="F135" s="263"/>
      <c r="G135" s="264"/>
      <c r="H135" s="263">
        <v>50.49</v>
      </c>
      <c r="I135" s="264">
        <v>2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68</v>
      </c>
      <c r="B136" s="261" t="s">
        <v>166</v>
      </c>
      <c r="C136" s="262" t="s">
        <v>746</v>
      </c>
      <c r="D136" s="263"/>
      <c r="E136" s="264"/>
      <c r="F136" s="263"/>
      <c r="G136" s="264"/>
      <c r="H136" s="263">
        <v>44.84</v>
      </c>
      <c r="I136" s="264">
        <v>41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754</v>
      </c>
      <c r="B137" s="261" t="s">
        <v>193</v>
      </c>
      <c r="C137" s="262" t="s">
        <v>746</v>
      </c>
      <c r="D137" s="263"/>
      <c r="E137" s="264"/>
      <c r="F137" s="263"/>
      <c r="G137" s="264"/>
      <c r="H137" s="263">
        <v>33.659999999999997</v>
      </c>
      <c r="I137" s="264">
        <v>16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17</v>
      </c>
      <c r="B138" s="261" t="s">
        <v>192</v>
      </c>
      <c r="C138" s="262" t="s">
        <v>746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ht="26.25" x14ac:dyDescent="0.25">
      <c r="A139" s="260" t="s">
        <v>47</v>
      </c>
      <c r="B139" s="261" t="s">
        <v>139</v>
      </c>
      <c r="C139" s="262" t="s">
        <v>763</v>
      </c>
      <c r="D139" s="263"/>
      <c r="E139" s="264"/>
      <c r="F139" s="263"/>
      <c r="G139" s="264"/>
      <c r="H139" s="263">
        <v>48.61</v>
      </c>
      <c r="I139" s="264">
        <v>48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64</v>
      </c>
      <c r="B140" s="261" t="s">
        <v>191</v>
      </c>
      <c r="C140" s="262" t="s">
        <v>746</v>
      </c>
      <c r="D140" s="263"/>
      <c r="E140" s="264"/>
      <c r="F140" s="263"/>
      <c r="G140" s="264"/>
      <c r="H140" s="263">
        <v>136.74</v>
      </c>
      <c r="I140" s="264">
        <v>193</v>
      </c>
      <c r="J140" s="262"/>
      <c r="K140" s="260"/>
      <c r="L140" s="262"/>
      <c r="M140" s="265"/>
      <c r="N140" s="265"/>
    </row>
    <row r="141" spans="1:14" s="149" customFormat="1" ht="26.25" x14ac:dyDescent="0.25">
      <c r="A141" s="260" t="s">
        <v>130</v>
      </c>
      <c r="B141" s="261" t="s">
        <v>131</v>
      </c>
      <c r="C141" s="262" t="s">
        <v>763</v>
      </c>
      <c r="D141" s="263"/>
      <c r="E141" s="264"/>
      <c r="F141" s="263"/>
      <c r="G141" s="264"/>
      <c r="H141" s="263">
        <v>33.659999999999997</v>
      </c>
      <c r="I141" s="264">
        <v>0</v>
      </c>
      <c r="J141" s="262"/>
      <c r="K141" s="260"/>
      <c r="L141" s="262"/>
      <c r="M141" s="265"/>
      <c r="N141" s="265"/>
    </row>
    <row r="142" spans="1:14" s="149" customFormat="1" ht="26.25" x14ac:dyDescent="0.25">
      <c r="A142" s="260" t="s">
        <v>134</v>
      </c>
      <c r="B142" s="261" t="s">
        <v>133</v>
      </c>
      <c r="C142" s="262" t="s">
        <v>763</v>
      </c>
      <c r="D142" s="263"/>
      <c r="E142" s="264"/>
      <c r="F142" s="263"/>
      <c r="G142" s="264"/>
      <c r="H142" s="263">
        <v>33.659999999999997</v>
      </c>
      <c r="I142" s="264">
        <v>8</v>
      </c>
      <c r="J142" s="262"/>
      <c r="K142" s="260"/>
      <c r="L142" s="262"/>
      <c r="M142" s="265"/>
      <c r="N142" s="265"/>
    </row>
    <row r="143" spans="1:14" s="149" customFormat="1" ht="26.25" x14ac:dyDescent="0.25">
      <c r="A143" s="260" t="s">
        <v>543</v>
      </c>
      <c r="B143" s="261" t="s">
        <v>135</v>
      </c>
      <c r="C143" s="262" t="s">
        <v>763</v>
      </c>
      <c r="D143" s="263"/>
      <c r="E143" s="264"/>
      <c r="F143" s="263"/>
      <c r="G143" s="264"/>
      <c r="H143" s="263">
        <v>1728.69</v>
      </c>
      <c r="I143" s="264">
        <v>2294</v>
      </c>
      <c r="J143" s="262"/>
      <c r="K143" s="260"/>
      <c r="L143" s="262"/>
      <c r="M143" s="265"/>
      <c r="N143" s="265"/>
    </row>
    <row r="144" spans="1:14" s="149" customFormat="1" x14ac:dyDescent="0.25">
      <c r="A144" s="260" t="s">
        <v>137</v>
      </c>
      <c r="B144" s="261" t="s">
        <v>138</v>
      </c>
      <c r="C144" s="262" t="s">
        <v>763</v>
      </c>
      <c r="D144" s="263"/>
      <c r="E144" s="264"/>
      <c r="F144" s="263"/>
      <c r="G144" s="264"/>
      <c r="H144" s="263">
        <v>33.659999999999997</v>
      </c>
      <c r="I144" s="264">
        <v>0</v>
      </c>
      <c r="J144" s="262"/>
      <c r="K144" s="260"/>
      <c r="L144" s="262"/>
      <c r="M144" s="265"/>
      <c r="N144" s="265"/>
    </row>
    <row r="145" spans="1:14" s="149" customFormat="1" ht="26.25" x14ac:dyDescent="0.25">
      <c r="A145" s="260" t="s">
        <v>140</v>
      </c>
      <c r="B145" s="261" t="s">
        <v>141</v>
      </c>
      <c r="C145" s="266" t="s">
        <v>763</v>
      </c>
      <c r="D145" s="263"/>
      <c r="E145" s="264"/>
      <c r="F145" s="263"/>
      <c r="G145" s="264"/>
      <c r="H145" s="263">
        <v>33.659999999999997</v>
      </c>
      <c r="I145" s="264">
        <v>0</v>
      </c>
      <c r="J145" s="262"/>
      <c r="K145" s="260"/>
      <c r="L145" s="262"/>
      <c r="M145" s="265"/>
      <c r="N145" s="265"/>
    </row>
    <row r="146" spans="1:14" s="149" customFormat="1" x14ac:dyDescent="0.25">
      <c r="A146" s="260" t="s">
        <v>142</v>
      </c>
      <c r="B146" s="261" t="s">
        <v>143</v>
      </c>
      <c r="C146" s="262" t="s">
        <v>763</v>
      </c>
      <c r="D146" s="263"/>
      <c r="E146" s="264"/>
      <c r="F146" s="263"/>
      <c r="G146" s="264"/>
      <c r="H146" s="263">
        <v>33.659999999999997</v>
      </c>
      <c r="I146" s="264">
        <v>7</v>
      </c>
      <c r="J146" s="262"/>
      <c r="K146" s="260"/>
      <c r="L146" s="262"/>
      <c r="M146" s="265"/>
      <c r="N146" s="265"/>
    </row>
    <row r="147" spans="1:14" s="149" customFormat="1" x14ac:dyDescent="0.25">
      <c r="A147" s="260" t="s">
        <v>587</v>
      </c>
      <c r="B147" s="261" t="s">
        <v>145</v>
      </c>
      <c r="C147" s="262" t="s">
        <v>763</v>
      </c>
      <c r="D147" s="263"/>
      <c r="E147" s="264"/>
      <c r="F147" s="263"/>
      <c r="G147" s="264"/>
      <c r="H147" s="263">
        <v>233.83</v>
      </c>
      <c r="I147" s="264">
        <v>335</v>
      </c>
      <c r="J147" s="262"/>
      <c r="K147" s="260"/>
      <c r="L147" s="262"/>
      <c r="M147" s="265"/>
      <c r="N147" s="265"/>
    </row>
    <row r="148" spans="1:14" s="149" customFormat="1" x14ac:dyDescent="0.25">
      <c r="A148" s="260" t="s">
        <v>588</v>
      </c>
      <c r="B148" s="261" t="s">
        <v>147</v>
      </c>
      <c r="C148" s="262" t="s">
        <v>763</v>
      </c>
      <c r="D148" s="263"/>
      <c r="E148" s="264"/>
      <c r="F148" s="263"/>
      <c r="G148" s="264"/>
      <c r="H148" s="263">
        <v>189.28</v>
      </c>
      <c r="I148" s="264">
        <v>272</v>
      </c>
      <c r="J148" s="262"/>
      <c r="K148" s="260"/>
      <c r="L148" s="262"/>
      <c r="M148" s="265"/>
      <c r="N148" s="265"/>
    </row>
    <row r="149" spans="1:14" s="149" customFormat="1" x14ac:dyDescent="0.25">
      <c r="A149" s="260" t="s">
        <v>176</v>
      </c>
      <c r="B149" s="261" t="s">
        <v>165</v>
      </c>
      <c r="C149" s="262" t="s">
        <v>763</v>
      </c>
      <c r="D149" s="263"/>
      <c r="E149" s="264"/>
      <c r="F149" s="263"/>
      <c r="G149" s="264"/>
      <c r="H149" s="263">
        <v>154.91</v>
      </c>
      <c r="I149" s="264">
        <v>221</v>
      </c>
      <c r="J149" s="262"/>
      <c r="K149" s="260"/>
      <c r="L149" s="262"/>
      <c r="M149" s="265"/>
      <c r="N149" s="265"/>
    </row>
    <row r="150" spans="1:14" s="199" customFormat="1" ht="26.25" x14ac:dyDescent="0.25">
      <c r="A150" s="280" t="s">
        <v>433</v>
      </c>
      <c r="B150" s="281"/>
      <c r="C150" s="249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49" customFormat="1" ht="26.25" x14ac:dyDescent="0.25">
      <c r="A151" s="260" t="s">
        <v>107</v>
      </c>
      <c r="B151" s="261">
        <v>67</v>
      </c>
      <c r="C151" s="262" t="s">
        <v>746</v>
      </c>
      <c r="D151" s="263"/>
      <c r="E151" s="264"/>
      <c r="F151" s="263"/>
      <c r="G151" s="264"/>
      <c r="H151" s="263">
        <v>50</v>
      </c>
      <c r="I151" s="264">
        <v>0</v>
      </c>
      <c r="J151" s="262"/>
      <c r="K151" s="260"/>
      <c r="L151" s="262"/>
      <c r="M151" s="265"/>
      <c r="N151" s="265"/>
    </row>
    <row r="152" spans="1:14" s="149" customFormat="1" x14ac:dyDescent="0.25">
      <c r="A152" s="260" t="s">
        <v>109</v>
      </c>
      <c r="B152" s="261">
        <v>95</v>
      </c>
      <c r="C152" s="262" t="s">
        <v>746</v>
      </c>
      <c r="D152" s="263"/>
      <c r="E152" s="264"/>
      <c r="F152" s="263"/>
      <c r="G152" s="264"/>
      <c r="H152" s="263">
        <v>57.5</v>
      </c>
      <c r="I152" s="264">
        <v>60</v>
      </c>
      <c r="J152" s="262"/>
      <c r="K152" s="260"/>
      <c r="L152" s="262"/>
      <c r="M152" s="265"/>
      <c r="N152" s="265"/>
    </row>
    <row r="153" spans="1:14" s="199" customFormat="1" x14ac:dyDescent="0.25">
      <c r="A153" s="247" t="s">
        <v>432</v>
      </c>
      <c r="B153" s="248"/>
      <c r="C153" s="249"/>
      <c r="D153" s="250"/>
      <c r="E153" s="251"/>
      <c r="F153" s="250"/>
      <c r="G153" s="251"/>
      <c r="H153" s="250"/>
      <c r="I153" s="251"/>
      <c r="J153" s="249"/>
      <c r="K153" s="252"/>
      <c r="L153" s="249"/>
      <c r="M153" s="253"/>
      <c r="N153" s="253"/>
    </row>
    <row r="154" spans="1:14" s="149" customFormat="1" ht="26.25" x14ac:dyDescent="0.25">
      <c r="A154" s="260" t="s">
        <v>156</v>
      </c>
      <c r="B154" s="291">
        <v>61</v>
      </c>
      <c r="C154" s="266">
        <v>42776</v>
      </c>
      <c r="D154" s="263"/>
      <c r="E154" s="264"/>
      <c r="F154" s="263"/>
      <c r="G154" s="264"/>
      <c r="H154" s="263">
        <v>35.18</v>
      </c>
      <c r="I154" s="264">
        <v>40</v>
      </c>
      <c r="J154" s="262"/>
      <c r="K154" s="260"/>
      <c r="L154" s="262"/>
      <c r="M154" s="265"/>
      <c r="N154" s="265"/>
    </row>
    <row r="155" spans="1:14" s="199" customFormat="1" ht="26.25" x14ac:dyDescent="0.25">
      <c r="A155" s="280" t="s">
        <v>431</v>
      </c>
      <c r="B155" s="281"/>
      <c r="C155" s="249"/>
      <c r="D155" s="250"/>
      <c r="E155" s="251"/>
      <c r="F155" s="250"/>
      <c r="G155" s="251"/>
      <c r="H155" s="250"/>
      <c r="I155" s="251"/>
      <c r="J155" s="249"/>
      <c r="K155" s="252"/>
      <c r="L155" s="249"/>
      <c r="M155" s="253"/>
      <c r="N155" s="253"/>
    </row>
    <row r="156" spans="1:14" s="149" customFormat="1" ht="39" x14ac:dyDescent="0.25">
      <c r="A156" s="260" t="s">
        <v>40</v>
      </c>
      <c r="B156" s="261">
        <v>95</v>
      </c>
      <c r="C156" s="266" t="s">
        <v>745</v>
      </c>
      <c r="D156" s="263"/>
      <c r="E156" s="264"/>
      <c r="F156" s="263"/>
      <c r="G156" s="264"/>
      <c r="H156" s="263">
        <v>16</v>
      </c>
      <c r="I156" s="264">
        <v>500</v>
      </c>
      <c r="J156" s="262"/>
      <c r="K156" s="260"/>
      <c r="L156" s="262"/>
      <c r="M156" s="265"/>
      <c r="N156" s="265"/>
    </row>
    <row r="157" spans="1:14" s="199" customFormat="1" ht="39" x14ac:dyDescent="0.25">
      <c r="A157" s="280" t="s">
        <v>430</v>
      </c>
      <c r="B157" s="302"/>
      <c r="C157" s="303"/>
      <c r="D157" s="250"/>
      <c r="E157" s="251"/>
      <c r="F157" s="250"/>
      <c r="G157" s="251"/>
      <c r="H157" s="250"/>
      <c r="I157" s="251"/>
      <c r="J157" s="249"/>
      <c r="K157" s="252"/>
      <c r="L157" s="249"/>
      <c r="M157" s="253"/>
      <c r="N157" s="253"/>
    </row>
    <row r="158" spans="1:14" s="184" customFormat="1" ht="26.25" x14ac:dyDescent="0.25">
      <c r="A158" s="267" t="s">
        <v>355</v>
      </c>
      <c r="B158" s="268" t="s">
        <v>356</v>
      </c>
      <c r="C158" s="289"/>
      <c r="D158" s="269"/>
      <c r="E158" s="270"/>
      <c r="F158" s="269"/>
      <c r="G158" s="270"/>
      <c r="H158" s="269"/>
      <c r="I158" s="270"/>
      <c r="J158" s="245"/>
      <c r="K158" s="267"/>
      <c r="L158" s="245"/>
      <c r="M158" s="246"/>
      <c r="N158" s="246"/>
    </row>
    <row r="159" spans="1:14" s="184" customFormat="1" x14ac:dyDescent="0.25">
      <c r="A159" s="245"/>
      <c r="B159" s="245"/>
      <c r="C159" s="245"/>
      <c r="D159" s="292">
        <f t="shared" ref="D159:I159" si="0">SUM(D2:D156)</f>
        <v>26077.97</v>
      </c>
      <c r="E159" s="270">
        <f t="shared" si="0"/>
        <v>285999.08</v>
      </c>
      <c r="F159" s="292">
        <f t="shared" si="0"/>
        <v>5982.7699999999995</v>
      </c>
      <c r="G159" s="270">
        <f t="shared" si="0"/>
        <v>7296</v>
      </c>
      <c r="H159" s="292">
        <f t="shared" si="0"/>
        <v>4086.9699999999993</v>
      </c>
      <c r="I159" s="270">
        <f t="shared" si="0"/>
        <v>4620.88</v>
      </c>
      <c r="J159" s="292"/>
      <c r="K159" s="245"/>
      <c r="L159" s="245"/>
      <c r="M159" s="246"/>
      <c r="N159" s="246"/>
    </row>
    <row r="160" spans="1:14" s="150" customFormat="1" x14ac:dyDescent="0.25">
      <c r="A160" s="293"/>
      <c r="B160" s="293"/>
      <c r="C160" s="293"/>
      <c r="D160" s="293"/>
      <c r="E160" s="294"/>
      <c r="F160" s="293"/>
      <c r="G160" s="294"/>
      <c r="H160" s="293"/>
      <c r="I160" s="294"/>
      <c r="J160" s="293"/>
      <c r="K160" s="293"/>
      <c r="L160" s="293"/>
      <c r="M160" s="295"/>
      <c r="N160" s="295"/>
    </row>
    <row r="161" spans="1:14" s="150" customFormat="1" x14ac:dyDescent="0.25">
      <c r="A161" s="293"/>
      <c r="B161" s="293"/>
      <c r="C161" s="293"/>
      <c r="D161" s="293"/>
      <c r="E161" s="294"/>
      <c r="F161" s="293"/>
      <c r="G161" s="294"/>
      <c r="H161" s="293"/>
      <c r="I161" s="294"/>
      <c r="J161" s="293"/>
      <c r="K161" s="293"/>
      <c r="L161" s="293"/>
      <c r="M161" s="295"/>
      <c r="N161" s="295"/>
    </row>
  </sheetData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E20" sqref="E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753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27"/>
      <c r="B4" s="528"/>
      <c r="C4" s="528"/>
      <c r="D4" s="528"/>
      <c r="E4" s="528"/>
      <c r="F4" s="528"/>
      <c r="G4" s="5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235068.08</v>
      </c>
      <c r="D13" s="34"/>
      <c r="E13" s="35" t="s">
        <v>33</v>
      </c>
      <c r="F13" s="34"/>
      <c r="G13" s="42">
        <v>23032.26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9111</v>
      </c>
      <c r="D15" s="34"/>
      <c r="E15" s="35" t="s">
        <v>10</v>
      </c>
      <c r="F15" s="34"/>
      <c r="G15" s="42">
        <v>7202.55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8170</v>
      </c>
      <c r="D17" s="34"/>
      <c r="E17" s="35" t="s">
        <v>278</v>
      </c>
      <c r="F17" s="34"/>
      <c r="G17" s="42">
        <v>6021.79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55"/>
  <sheetViews>
    <sheetView zoomScale="110" zoomScaleNormal="110" workbookViewId="0">
      <pane ySplit="2" topLeftCell="A54" activePane="bottomLeft" state="frozen"/>
      <selection pane="bottomLeft" activeCell="C28" sqref="C28"/>
    </sheetView>
  </sheetViews>
  <sheetFormatPr defaultRowHeight="15" x14ac:dyDescent="0.25"/>
  <cols>
    <col min="1" max="1" width="22" style="293" customWidth="1"/>
    <col min="2" max="2" width="14.85546875" style="293" customWidth="1"/>
    <col min="3" max="3" width="23.5703125" style="293" bestFit="1" customWidth="1"/>
    <col min="4" max="4" width="11.5703125" style="293" bestFit="1" customWidth="1"/>
    <col min="5" max="5" width="10.140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28515625" style="293" customWidth="1"/>
    <col min="12" max="12" width="9.140625" style="296" hidden="1" customWidth="1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 t="s">
        <v>730</v>
      </c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730</v>
      </c>
      <c r="D3" s="257"/>
      <c r="E3" s="258"/>
      <c r="F3" s="257">
        <v>2703.72</v>
      </c>
      <c r="G3" s="258">
        <v>3722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731</v>
      </c>
      <c r="D4" s="263"/>
      <c r="E4" s="264"/>
      <c r="F4" s="263">
        <v>517.41</v>
      </c>
      <c r="G4" s="264">
        <v>660</v>
      </c>
      <c r="H4" s="263"/>
      <c r="I4" s="264"/>
      <c r="J4" s="262" t="s">
        <v>10</v>
      </c>
      <c r="K4" s="260"/>
      <c r="L4" s="262"/>
      <c r="M4" s="265"/>
      <c r="N4" s="265"/>
    </row>
    <row r="5" spans="1:14" s="526" customFormat="1" x14ac:dyDescent="0.25">
      <c r="A5" s="519" t="s">
        <v>36</v>
      </c>
      <c r="B5" s="520">
        <v>3039781986</v>
      </c>
      <c r="C5" s="521" t="s">
        <v>569</v>
      </c>
      <c r="D5" s="522"/>
      <c r="E5" s="523"/>
      <c r="F5" s="522">
        <v>43.41</v>
      </c>
      <c r="G5" s="523">
        <v>0</v>
      </c>
      <c r="H5" s="522"/>
      <c r="I5" s="523"/>
      <c r="J5" s="524" t="s">
        <v>10</v>
      </c>
      <c r="K5" s="519"/>
      <c r="L5" s="524"/>
      <c r="M5" s="525"/>
      <c r="N5" s="525"/>
    </row>
    <row r="6" spans="1:14" s="148" customFormat="1" x14ac:dyDescent="0.25">
      <c r="A6" s="254" t="s">
        <v>34</v>
      </c>
      <c r="B6" s="255">
        <v>3039472917</v>
      </c>
      <c r="C6" s="256" t="s">
        <v>729</v>
      </c>
      <c r="D6" s="257"/>
      <c r="E6" s="258"/>
      <c r="F6" s="257">
        <v>548.89</v>
      </c>
      <c r="G6" s="258">
        <v>705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731</v>
      </c>
      <c r="D7" s="263"/>
      <c r="E7" s="264"/>
      <c r="F7" s="263">
        <v>321.69</v>
      </c>
      <c r="G7" s="264">
        <v>386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731</v>
      </c>
      <c r="D8" s="263"/>
      <c r="E8" s="264"/>
      <c r="F8" s="263">
        <v>214.77</v>
      </c>
      <c r="G8" s="264">
        <v>244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731</v>
      </c>
      <c r="D9" s="263"/>
      <c r="E9" s="264"/>
      <c r="F9" s="263">
        <v>91.41</v>
      </c>
      <c r="G9" s="264">
        <v>58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733</v>
      </c>
      <c r="D10" s="263"/>
      <c r="E10" s="264"/>
      <c r="F10" s="263">
        <v>1005.45</v>
      </c>
      <c r="G10" s="264">
        <v>1341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731</v>
      </c>
      <c r="D11" s="263"/>
      <c r="E11" s="264"/>
      <c r="F11" s="263">
        <v>504.51</v>
      </c>
      <c r="G11" s="264">
        <v>642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731</v>
      </c>
      <c r="D12" s="263"/>
      <c r="E12" s="264"/>
      <c r="F12" s="263">
        <v>55.64</v>
      </c>
      <c r="G12" s="264">
        <v>4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731</v>
      </c>
      <c r="D13" s="263"/>
      <c r="E13" s="264"/>
      <c r="F13" s="263">
        <v>59.48</v>
      </c>
      <c r="G13" s="264">
        <v>56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84" customFormat="1" ht="26.25" x14ac:dyDescent="0.25">
      <c r="A14" s="267" t="s">
        <v>47</v>
      </c>
      <c r="B14" s="268">
        <v>3034878837</v>
      </c>
      <c r="C14" s="245" t="s">
        <v>635</v>
      </c>
      <c r="D14" s="269"/>
      <c r="E14" s="270"/>
      <c r="F14" s="269">
        <v>44.43</v>
      </c>
      <c r="G14" s="270">
        <v>0</v>
      </c>
      <c r="H14" s="269"/>
      <c r="I14" s="270"/>
      <c r="J14" s="245" t="s">
        <v>10</v>
      </c>
      <c r="K14" s="267"/>
      <c r="L14" s="245"/>
      <c r="M14" s="246"/>
      <c r="N14" s="246"/>
    </row>
    <row r="15" spans="1:14" s="149" customFormat="1" x14ac:dyDescent="0.25">
      <c r="A15" s="260" t="s">
        <v>64</v>
      </c>
      <c r="B15" s="261">
        <v>3025670416</v>
      </c>
      <c r="C15" s="262" t="s">
        <v>735</v>
      </c>
      <c r="D15" s="263"/>
      <c r="E15" s="264"/>
      <c r="F15" s="263">
        <v>176.61</v>
      </c>
      <c r="G15" s="264">
        <v>184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736</v>
      </c>
      <c r="D16" s="263"/>
      <c r="E16" s="264"/>
      <c r="F16" s="263">
        <v>682.96</v>
      </c>
      <c r="G16" s="264">
        <v>891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734</v>
      </c>
      <c r="D17" s="263"/>
      <c r="E17" s="264"/>
      <c r="F17" s="263">
        <v>81.540000000000006</v>
      </c>
      <c r="G17" s="264">
        <v>71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734</v>
      </c>
      <c r="D18" s="263"/>
      <c r="E18" s="264"/>
      <c r="F18" s="263">
        <v>150.63</v>
      </c>
      <c r="G18" s="264">
        <v>147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496" customFormat="1" ht="25.5" x14ac:dyDescent="0.2">
      <c r="A20" s="490" t="s">
        <v>310</v>
      </c>
      <c r="B20" s="491">
        <v>8463322</v>
      </c>
      <c r="C20" s="492" t="s">
        <v>741</v>
      </c>
      <c r="D20" s="493">
        <v>4793.21</v>
      </c>
      <c r="E20" s="494">
        <v>75100</v>
      </c>
      <c r="F20" s="493"/>
      <c r="G20" s="494"/>
      <c r="H20" s="493"/>
      <c r="I20" s="494"/>
      <c r="J20" s="492" t="s">
        <v>33</v>
      </c>
      <c r="K20" s="495"/>
      <c r="L20" s="492"/>
      <c r="M20" s="496" t="s">
        <v>447</v>
      </c>
      <c r="N20" s="496" t="s">
        <v>490</v>
      </c>
    </row>
    <row r="21" spans="1:14" s="331" customFormat="1" ht="36.75" customHeight="1" x14ac:dyDescent="0.25">
      <c r="A21" s="485" t="s">
        <v>709</v>
      </c>
      <c r="B21" s="486">
        <v>15145888</v>
      </c>
      <c r="C21" s="327"/>
      <c r="D21" s="328"/>
      <c r="E21" s="329"/>
      <c r="F21" s="328"/>
      <c r="G21" s="329"/>
      <c r="H21" s="328"/>
      <c r="I21" s="329"/>
      <c r="J21" s="327"/>
      <c r="K21" s="325"/>
      <c r="L21" s="327"/>
      <c r="M21" s="330"/>
      <c r="N21" s="330"/>
    </row>
    <row r="22" spans="1:14" s="149" customFormat="1" x14ac:dyDescent="0.25">
      <c r="A22" s="260" t="s">
        <v>113</v>
      </c>
      <c r="B22" s="261">
        <v>5089282</v>
      </c>
      <c r="C22" s="262" t="s">
        <v>740</v>
      </c>
      <c r="D22" s="263">
        <v>55.5</v>
      </c>
      <c r="E22" s="264">
        <v>300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14" s="149" customFormat="1" x14ac:dyDescent="0.25">
      <c r="A23" s="260" t="s">
        <v>252</v>
      </c>
      <c r="B23" s="262">
        <v>8239130</v>
      </c>
      <c r="C23" s="262" t="s">
        <v>740</v>
      </c>
      <c r="D23" s="263">
        <v>23.62</v>
      </c>
      <c r="E23" s="264">
        <v>113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14" s="149" customFormat="1" x14ac:dyDescent="0.25">
      <c r="A24" s="260" t="s">
        <v>114</v>
      </c>
      <c r="B24" s="261">
        <v>5089344</v>
      </c>
      <c r="C24" s="262" t="s">
        <v>740</v>
      </c>
      <c r="D24" s="263">
        <v>33.99</v>
      </c>
      <c r="E24" s="264">
        <v>243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14" s="149" customFormat="1" ht="26.25" x14ac:dyDescent="0.25">
      <c r="A25" s="260" t="s">
        <v>19</v>
      </c>
      <c r="B25" s="261">
        <v>7010755</v>
      </c>
      <c r="C25" s="262" t="s">
        <v>740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14" s="149" customFormat="1" x14ac:dyDescent="0.25">
      <c r="A26" s="260" t="s">
        <v>115</v>
      </c>
      <c r="B26" s="261">
        <v>9261200</v>
      </c>
      <c r="C26" s="262" t="s">
        <v>740</v>
      </c>
      <c r="D26" s="263">
        <v>87.12</v>
      </c>
      <c r="E26" s="264">
        <v>888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14" s="149" customFormat="1" x14ac:dyDescent="0.25">
      <c r="A27" s="260" t="s">
        <v>116</v>
      </c>
      <c r="B27" s="261">
        <v>5105092</v>
      </c>
      <c r="C27" s="262" t="s">
        <v>740</v>
      </c>
      <c r="D27" s="263">
        <v>363.38</v>
      </c>
      <c r="E27" s="264">
        <v>4163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14" s="149" customFormat="1" x14ac:dyDescent="0.25">
      <c r="A28" s="260" t="s">
        <v>119</v>
      </c>
      <c r="B28" s="261">
        <v>5074402</v>
      </c>
      <c r="C28" s="262" t="s">
        <v>737</v>
      </c>
      <c r="D28" s="263">
        <v>34.94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14" s="149" customFormat="1" x14ac:dyDescent="0.25">
      <c r="A29" s="260" t="s">
        <v>248</v>
      </c>
      <c r="B29" s="261">
        <v>5264802</v>
      </c>
      <c r="C29" s="262" t="s">
        <v>740</v>
      </c>
      <c r="D29" s="263">
        <v>112.37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14" s="149" customFormat="1" x14ac:dyDescent="0.25">
      <c r="A30" s="260" t="s">
        <v>264</v>
      </c>
      <c r="B30" s="261">
        <v>8234139</v>
      </c>
      <c r="C30" s="266" t="s">
        <v>740</v>
      </c>
      <c r="D30" s="263">
        <v>99.45</v>
      </c>
      <c r="E30" s="264">
        <v>1062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14" s="149" customFormat="1" x14ac:dyDescent="0.25">
      <c r="A31" s="260" t="s">
        <v>250</v>
      </c>
      <c r="B31" s="261">
        <v>5074495</v>
      </c>
      <c r="C31" s="262" t="s">
        <v>740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14" s="149" customFormat="1" ht="26.25" x14ac:dyDescent="0.25">
      <c r="A32" s="260" t="s">
        <v>123</v>
      </c>
      <c r="B32" s="261">
        <v>5036644</v>
      </c>
      <c r="C32" s="262" t="s">
        <v>742</v>
      </c>
      <c r="D32" s="263">
        <v>188.41</v>
      </c>
      <c r="E32" s="264">
        <v>600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49" customFormat="1" ht="26.25" x14ac:dyDescent="0.25">
      <c r="A33" s="260" t="s">
        <v>127</v>
      </c>
      <c r="B33" s="261">
        <v>5020429</v>
      </c>
      <c r="C33" s="262" t="s">
        <v>742</v>
      </c>
      <c r="D33" s="263">
        <v>22.19</v>
      </c>
      <c r="E33" s="264">
        <v>150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742</v>
      </c>
      <c r="D34" s="263">
        <v>282.23</v>
      </c>
      <c r="E34" s="264">
        <v>2107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742</v>
      </c>
      <c r="D35" s="263">
        <v>165.96</v>
      </c>
      <c r="E35" s="264">
        <v>1917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742</v>
      </c>
      <c r="D36" s="263">
        <v>45.63</v>
      </c>
      <c r="E36" s="264">
        <v>396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742</v>
      </c>
      <c r="D37" s="263">
        <v>721.75</v>
      </c>
      <c r="E37" s="264">
        <v>8520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742</v>
      </c>
      <c r="D38" s="263">
        <v>48.41</v>
      </c>
      <c r="E38" s="264">
        <v>419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742</v>
      </c>
      <c r="D39" s="263">
        <v>22.63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59" customFormat="1" ht="26.25" x14ac:dyDescent="0.25">
      <c r="A40" s="353" t="s">
        <v>254</v>
      </c>
      <c r="B40" s="354">
        <v>4955887</v>
      </c>
      <c r="C40" s="355" t="s">
        <v>541</v>
      </c>
      <c r="D40" s="356">
        <v>0</v>
      </c>
      <c r="E40" s="357">
        <v>0</v>
      </c>
      <c r="F40" s="356"/>
      <c r="G40" s="357"/>
      <c r="H40" s="356"/>
      <c r="I40" s="357"/>
      <c r="J40" s="355" t="s">
        <v>33</v>
      </c>
      <c r="K40" s="353"/>
      <c r="L40" s="355"/>
      <c r="M40" s="358" t="s">
        <v>447</v>
      </c>
      <c r="N40" s="358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740</v>
      </c>
      <c r="D41" s="263">
        <v>196</v>
      </c>
      <c r="E41" s="264">
        <v>1966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742</v>
      </c>
      <c r="D42" s="263">
        <v>22.63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742</v>
      </c>
      <c r="D43" s="263">
        <v>16.07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742</v>
      </c>
      <c r="D44" s="263">
        <v>1170.46</v>
      </c>
      <c r="E44" s="264">
        <v>10350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742</v>
      </c>
      <c r="D45" s="263">
        <v>25.7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742</v>
      </c>
      <c r="D46" s="263">
        <v>286.99</v>
      </c>
      <c r="E46" s="264">
        <v>1190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149" customFormat="1" ht="26.25" x14ac:dyDescent="0.25">
      <c r="A47" s="260" t="s">
        <v>242</v>
      </c>
      <c r="B47" s="261">
        <v>4426036</v>
      </c>
      <c r="C47" s="262" t="s">
        <v>742</v>
      </c>
      <c r="D47" s="263">
        <v>338.76</v>
      </c>
      <c r="E47" s="264">
        <v>1950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456</v>
      </c>
    </row>
    <row r="48" spans="1:14" s="149" customFormat="1" x14ac:dyDescent="0.25">
      <c r="A48" s="260" t="s">
        <v>34</v>
      </c>
      <c r="B48" s="261">
        <v>5028615</v>
      </c>
      <c r="C48" s="262" t="s">
        <v>742</v>
      </c>
      <c r="D48" s="263">
        <v>574.07000000000005</v>
      </c>
      <c r="E48" s="264">
        <v>5200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742</v>
      </c>
      <c r="D49" s="263">
        <v>326.22000000000003</v>
      </c>
      <c r="E49" s="264">
        <v>2734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149" customFormat="1" ht="26.25" x14ac:dyDescent="0.25">
      <c r="A50" s="260" t="s">
        <v>46</v>
      </c>
      <c r="B50" s="261">
        <v>5027654</v>
      </c>
      <c r="C50" s="262" t="s">
        <v>742</v>
      </c>
      <c r="D50" s="263">
        <v>196.1</v>
      </c>
      <c r="E50" s="264">
        <v>1946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742</v>
      </c>
      <c r="D51" s="263">
        <v>16.07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742</v>
      </c>
      <c r="D52" s="263">
        <v>666.13</v>
      </c>
      <c r="E52" s="264">
        <v>3840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742</v>
      </c>
      <c r="D53" s="263">
        <v>22.63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149" customFormat="1" ht="26.25" x14ac:dyDescent="0.25">
      <c r="A54" s="260" t="s">
        <v>17</v>
      </c>
      <c r="B54" s="261">
        <v>8934894</v>
      </c>
      <c r="C54" s="262" t="s">
        <v>742</v>
      </c>
      <c r="D54" s="263">
        <v>76.36</v>
      </c>
      <c r="E54" s="264">
        <v>754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458</v>
      </c>
    </row>
    <row r="55" spans="1:14" s="148" customFormat="1" x14ac:dyDescent="0.25">
      <c r="A55" s="254" t="s">
        <v>240</v>
      </c>
      <c r="B55" s="255">
        <v>5031405</v>
      </c>
      <c r="C55" s="256" t="s">
        <v>742</v>
      </c>
      <c r="D55" s="257">
        <v>1426.68</v>
      </c>
      <c r="E55" s="258">
        <v>16980</v>
      </c>
      <c r="F55" s="257"/>
      <c r="G55" s="258"/>
      <c r="H55" s="257"/>
      <c r="I55" s="258"/>
      <c r="J55" s="256" t="s">
        <v>33</v>
      </c>
      <c r="K55" s="254"/>
      <c r="L55" s="256"/>
      <c r="M55" s="259" t="s">
        <v>447</v>
      </c>
      <c r="N55" s="259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742</v>
      </c>
      <c r="D56" s="263">
        <v>18.829999999999998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742</v>
      </c>
      <c r="D57" s="263">
        <v>888.11</v>
      </c>
      <c r="E57" s="264">
        <v>12060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742</v>
      </c>
      <c r="D58" s="263">
        <v>147.52000000000001</v>
      </c>
      <c r="E58" s="264">
        <v>480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26.25" x14ac:dyDescent="0.25">
      <c r="A59" s="260" t="s">
        <v>153</v>
      </c>
      <c r="B59" s="261">
        <v>8327232</v>
      </c>
      <c r="C59" s="262" t="s">
        <v>742</v>
      </c>
      <c r="D59" s="263">
        <v>38.74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184" customFormat="1" ht="26.25" x14ac:dyDescent="0.25">
      <c r="A60" s="267" t="s">
        <v>255</v>
      </c>
      <c r="B60" s="268">
        <v>6973803</v>
      </c>
      <c r="C60" s="245" t="s">
        <v>561</v>
      </c>
      <c r="D60" s="269">
        <v>0</v>
      </c>
      <c r="E60" s="270">
        <v>0</v>
      </c>
      <c r="F60" s="269"/>
      <c r="G60" s="270"/>
      <c r="H60" s="269"/>
      <c r="I60" s="270"/>
      <c r="J60" s="245" t="s">
        <v>33</v>
      </c>
      <c r="K60" s="267"/>
      <c r="L60" s="245"/>
      <c r="M60" s="246" t="s">
        <v>447</v>
      </c>
      <c r="N60" s="246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740</v>
      </c>
      <c r="D61" s="263">
        <v>4</v>
      </c>
      <c r="E61" s="264">
        <v>13537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184" customFormat="1" x14ac:dyDescent="0.25">
      <c r="A62" s="267" t="s">
        <v>253</v>
      </c>
      <c r="B62" s="268">
        <v>4934809</v>
      </c>
      <c r="C62" s="245" t="s">
        <v>561</v>
      </c>
      <c r="D62" s="269">
        <v>0</v>
      </c>
      <c r="E62" s="270">
        <v>0</v>
      </c>
      <c r="F62" s="269"/>
      <c r="G62" s="270"/>
      <c r="H62" s="269"/>
      <c r="I62" s="270"/>
      <c r="J62" s="245" t="s">
        <v>33</v>
      </c>
      <c r="K62" s="267"/>
      <c r="L62" s="245"/>
      <c r="M62" s="246" t="s">
        <v>447</v>
      </c>
      <c r="N62" s="246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742</v>
      </c>
      <c r="D63" s="263">
        <v>286.7</v>
      </c>
      <c r="E63" s="264">
        <v>1840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740</v>
      </c>
      <c r="D64" s="263">
        <v>27.29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742</v>
      </c>
      <c r="D65" s="263">
        <v>19.440000000000001</v>
      </c>
      <c r="E65" s="264">
        <v>60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49" customFormat="1" ht="26.25" x14ac:dyDescent="0.25">
      <c r="A66" s="260" t="s">
        <v>24</v>
      </c>
      <c r="B66" s="261">
        <v>4892432</v>
      </c>
      <c r="C66" s="262" t="s">
        <v>740</v>
      </c>
      <c r="D66" s="263">
        <v>156.86000000000001</v>
      </c>
      <c r="E66" s="264">
        <v>1756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484</v>
      </c>
    </row>
    <row r="67" spans="1:14" s="149" customFormat="1" x14ac:dyDescent="0.25">
      <c r="A67" s="260" t="s">
        <v>21</v>
      </c>
      <c r="B67" s="261">
        <v>4968878</v>
      </c>
      <c r="C67" s="266" t="s">
        <v>740</v>
      </c>
      <c r="D67" s="263">
        <v>198.37</v>
      </c>
      <c r="E67" s="264">
        <v>2304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482</v>
      </c>
    </row>
    <row r="68" spans="1:14" s="149" customFormat="1" ht="26.25" x14ac:dyDescent="0.25">
      <c r="A68" s="260" t="s">
        <v>31</v>
      </c>
      <c r="B68" s="261">
        <v>5041139</v>
      </c>
      <c r="C68" s="262" t="s">
        <v>740</v>
      </c>
      <c r="D68" s="263">
        <v>29.43</v>
      </c>
      <c r="E68" s="264">
        <v>186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488</v>
      </c>
    </row>
    <row r="69" spans="1:14" s="149" customFormat="1" ht="26.25" x14ac:dyDescent="0.25">
      <c r="A69" s="260" t="s">
        <v>256</v>
      </c>
      <c r="B69" s="261">
        <v>5276024</v>
      </c>
      <c r="C69" s="262" t="s">
        <v>740</v>
      </c>
      <c r="D69" s="263">
        <v>22.6</v>
      </c>
      <c r="E69" s="264">
        <v>150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740</v>
      </c>
      <c r="D70" s="263">
        <v>19.41</v>
      </c>
      <c r="E70" s="264">
        <v>60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740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735</v>
      </c>
      <c r="D73" s="263">
        <v>219</v>
      </c>
      <c r="E73" s="264">
        <v>1900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735</v>
      </c>
      <c r="D74" s="263">
        <v>230</v>
      </c>
      <c r="E74" s="264">
        <v>1809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735</v>
      </c>
      <c r="D75" s="263">
        <v>116</v>
      </c>
      <c r="E75" s="264">
        <v>666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735</v>
      </c>
      <c r="D76" s="263">
        <v>46</v>
      </c>
      <c r="E76" s="264">
        <v>157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735</v>
      </c>
      <c r="D77" s="263">
        <v>38</v>
      </c>
      <c r="E77" s="264">
        <v>74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735</v>
      </c>
      <c r="D78" s="263">
        <v>382</v>
      </c>
      <c r="E78" s="264">
        <v>3342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735</v>
      </c>
      <c r="D79" s="263">
        <v>426</v>
      </c>
      <c r="E79" s="264">
        <v>4075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735</v>
      </c>
      <c r="D80" s="263">
        <v>62</v>
      </c>
      <c r="E80" s="264">
        <v>315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735</v>
      </c>
      <c r="D81" s="263">
        <v>63</v>
      </c>
      <c r="E81" s="264">
        <v>124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736</v>
      </c>
      <c r="D82" s="263">
        <v>31</v>
      </c>
      <c r="E82" s="264">
        <v>2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735</v>
      </c>
      <c r="D83" s="263">
        <v>38</v>
      </c>
      <c r="E83" s="264">
        <v>74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735</v>
      </c>
      <c r="D84" s="257">
        <v>77</v>
      </c>
      <c r="E84" s="258">
        <v>296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6" t="s">
        <v>735</v>
      </c>
      <c r="D85" s="263">
        <v>1524</v>
      </c>
      <c r="E85" s="264">
        <v>15480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7215400</v>
      </c>
      <c r="C86" s="262" t="s">
        <v>735</v>
      </c>
      <c r="D86" s="263">
        <v>50</v>
      </c>
      <c r="E86" s="264">
        <v>114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735</v>
      </c>
      <c r="D87" s="263">
        <v>58</v>
      </c>
      <c r="E87" s="264">
        <v>12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735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6" t="s">
        <v>735</v>
      </c>
      <c r="D89" s="263">
        <v>61</v>
      </c>
      <c r="E89" s="264">
        <v>231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84" customFormat="1" ht="26.25" x14ac:dyDescent="0.25">
      <c r="A90" s="267" t="s">
        <v>100</v>
      </c>
      <c r="B90" s="332">
        <v>1323346600</v>
      </c>
      <c r="C90" s="245" t="s">
        <v>599</v>
      </c>
      <c r="D90" s="269">
        <v>355</v>
      </c>
      <c r="E90" s="270">
        <v>3600</v>
      </c>
      <c r="F90" s="269"/>
      <c r="G90" s="270"/>
      <c r="H90" s="269"/>
      <c r="I90" s="270"/>
      <c r="J90" s="245" t="s">
        <v>33</v>
      </c>
      <c r="K90" s="267"/>
      <c r="L90" s="245"/>
      <c r="M90" s="246"/>
      <c r="N90" s="246"/>
    </row>
    <row r="91" spans="1:14" s="184" customFormat="1" x14ac:dyDescent="0.25">
      <c r="A91" s="267" t="s">
        <v>101</v>
      </c>
      <c r="B91" s="332">
        <v>1322699400</v>
      </c>
      <c r="C91" s="245" t="s">
        <v>599</v>
      </c>
      <c r="D91" s="269">
        <v>1208</v>
      </c>
      <c r="E91" s="270">
        <v>5280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352" customFormat="1" ht="26.25" x14ac:dyDescent="0.25">
      <c r="A92" s="346" t="s">
        <v>617</v>
      </c>
      <c r="B92" s="347" t="s">
        <v>200</v>
      </c>
      <c r="C92" s="348" t="s">
        <v>735</v>
      </c>
      <c r="D92" s="349">
        <v>285</v>
      </c>
      <c r="E92" s="350">
        <v>1.08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735</v>
      </c>
      <c r="D93" s="263">
        <v>147</v>
      </c>
      <c r="E93" s="264">
        <v>521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735</v>
      </c>
      <c r="D94" s="263">
        <v>66</v>
      </c>
      <c r="E94" s="264">
        <v>152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735</v>
      </c>
      <c r="D95" s="263">
        <v>94</v>
      </c>
      <c r="E95" s="264">
        <v>437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118</v>
      </c>
      <c r="B96" s="261" t="s">
        <v>221</v>
      </c>
      <c r="C96" s="266" t="s">
        <v>735</v>
      </c>
      <c r="D96" s="263">
        <v>121</v>
      </c>
      <c r="E96" s="264">
        <v>915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84" customFormat="1" x14ac:dyDescent="0.25">
      <c r="A97" s="267"/>
      <c r="B97" s="268"/>
      <c r="C97" s="289"/>
      <c r="D97" s="269"/>
      <c r="E97" s="270"/>
      <c r="F97" s="269"/>
      <c r="G97" s="270"/>
      <c r="H97" s="269"/>
      <c r="I97" s="270"/>
      <c r="J97" s="245"/>
      <c r="K97" s="267"/>
      <c r="L97" s="245"/>
      <c r="M97" s="246"/>
      <c r="N97" s="246"/>
    </row>
    <row r="98" spans="1:14" s="149" customFormat="1" x14ac:dyDescent="0.25">
      <c r="A98" s="260" t="s">
        <v>701</v>
      </c>
      <c r="B98" s="261">
        <v>1323115001</v>
      </c>
      <c r="C98" s="266" t="s">
        <v>735</v>
      </c>
      <c r="D98" s="263">
        <v>1002</v>
      </c>
      <c r="E98" s="264">
        <v>9840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x14ac:dyDescent="0.25">
      <c r="A99" s="260" t="s">
        <v>683</v>
      </c>
      <c r="B99" s="261">
        <v>1322673502</v>
      </c>
      <c r="C99" s="266" t="s">
        <v>735</v>
      </c>
      <c r="D99" s="263">
        <v>224</v>
      </c>
      <c r="E99" s="264">
        <v>1750</v>
      </c>
      <c r="F99" s="263"/>
      <c r="G99" s="264"/>
      <c r="H99" s="263"/>
      <c r="I99" s="264"/>
      <c r="J99" s="262"/>
      <c r="K99" s="260"/>
      <c r="L99" s="262"/>
      <c r="M99" s="265"/>
      <c r="N99" s="265"/>
    </row>
    <row r="100" spans="1:14" s="149" customFormat="1" x14ac:dyDescent="0.25">
      <c r="A100" s="260" t="s">
        <v>702</v>
      </c>
      <c r="B100" s="261">
        <v>1322725900</v>
      </c>
      <c r="C100" s="266" t="s">
        <v>735</v>
      </c>
      <c r="D100" s="263">
        <v>748</v>
      </c>
      <c r="E100" s="264">
        <v>6840</v>
      </c>
      <c r="F100" s="263"/>
      <c r="G100" s="264"/>
      <c r="H100" s="263"/>
      <c r="I100" s="264"/>
      <c r="J100" s="262"/>
      <c r="K100" s="260"/>
      <c r="L100" s="262"/>
      <c r="M100" s="265"/>
      <c r="N100" s="265"/>
    </row>
    <row r="101" spans="1:14" s="199" customFormat="1" x14ac:dyDescent="0.25">
      <c r="A101" s="280" t="s">
        <v>434</v>
      </c>
      <c r="B101" s="281"/>
      <c r="C101" s="249">
        <v>0</v>
      </c>
      <c r="D101" s="250"/>
      <c r="E101" s="251"/>
      <c r="F101" s="250"/>
      <c r="G101" s="251"/>
      <c r="H101" s="250"/>
      <c r="I101" s="251"/>
      <c r="J101" s="249"/>
      <c r="K101" s="252"/>
      <c r="L101" s="249"/>
      <c r="M101" s="253"/>
      <c r="N101" s="253"/>
    </row>
    <row r="102" spans="1:14" s="149" customFormat="1" x14ac:dyDescent="0.25">
      <c r="A102" s="260" t="s">
        <v>65</v>
      </c>
      <c r="B102" s="261" t="s">
        <v>163</v>
      </c>
      <c r="C102" s="262" t="s">
        <v>735</v>
      </c>
      <c r="D102" s="263"/>
      <c r="E102" s="264"/>
      <c r="F102" s="263"/>
      <c r="G102" s="264"/>
      <c r="H102" s="263">
        <v>118.57</v>
      </c>
      <c r="I102" s="264">
        <v>165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37</v>
      </c>
      <c r="B103" s="261" t="s">
        <v>190</v>
      </c>
      <c r="C103" s="262" t="s">
        <v>735</v>
      </c>
      <c r="D103" s="263"/>
      <c r="E103" s="264"/>
      <c r="F103" s="263"/>
      <c r="G103" s="264"/>
      <c r="H103" s="263">
        <v>90.66</v>
      </c>
      <c r="I103" s="264">
        <v>122</v>
      </c>
      <c r="J103" s="262"/>
      <c r="K103" s="260"/>
      <c r="L103" s="262"/>
      <c r="M103" s="265"/>
      <c r="N103" s="265"/>
    </row>
    <row r="104" spans="1:14" s="184" customFormat="1" x14ac:dyDescent="0.25">
      <c r="A104" s="267" t="s">
        <v>71</v>
      </c>
      <c r="B104" s="268" t="s">
        <v>188</v>
      </c>
      <c r="C104" s="245" t="s">
        <v>598</v>
      </c>
      <c r="D104" s="269"/>
      <c r="E104" s="270"/>
      <c r="F104" s="269"/>
      <c r="G104" s="270"/>
      <c r="H104" s="269">
        <v>31.16</v>
      </c>
      <c r="I104" s="270">
        <v>18</v>
      </c>
      <c r="J104" s="245"/>
      <c r="K104" s="267"/>
      <c r="L104" s="245"/>
      <c r="M104" s="246"/>
      <c r="N104" s="246"/>
    </row>
    <row r="105" spans="1:14" s="184" customFormat="1" x14ac:dyDescent="0.25">
      <c r="A105" s="267" t="s">
        <v>72</v>
      </c>
      <c r="B105" s="268" t="s">
        <v>187</v>
      </c>
      <c r="C105" s="245" t="s">
        <v>598</v>
      </c>
      <c r="D105" s="269"/>
      <c r="E105" s="270"/>
      <c r="F105" s="269"/>
      <c r="G105" s="270"/>
      <c r="H105" s="269">
        <v>51.99</v>
      </c>
      <c r="I105" s="270">
        <v>59</v>
      </c>
      <c r="J105" s="245"/>
      <c r="K105" s="267"/>
      <c r="L105" s="245"/>
      <c r="M105" s="246"/>
      <c r="N105" s="246"/>
    </row>
    <row r="106" spans="1:14" s="184" customFormat="1" x14ac:dyDescent="0.25">
      <c r="A106" s="267" t="s">
        <v>73</v>
      </c>
      <c r="B106" s="268" t="s">
        <v>171</v>
      </c>
      <c r="C106" s="245" t="s">
        <v>598</v>
      </c>
      <c r="D106" s="269"/>
      <c r="E106" s="270"/>
      <c r="F106" s="269"/>
      <c r="G106" s="270"/>
      <c r="H106" s="269">
        <v>69.61</v>
      </c>
      <c r="I106" s="270">
        <v>92</v>
      </c>
      <c r="J106" s="245"/>
      <c r="K106" s="267"/>
      <c r="L106" s="245"/>
      <c r="M106" s="246"/>
      <c r="N106" s="246"/>
    </row>
    <row r="107" spans="1:14" s="184" customFormat="1" x14ac:dyDescent="0.25">
      <c r="A107" s="267" t="s">
        <v>74</v>
      </c>
      <c r="B107" s="268" t="s">
        <v>170</v>
      </c>
      <c r="C107" s="245" t="s">
        <v>598</v>
      </c>
      <c r="D107" s="269"/>
      <c r="E107" s="270"/>
      <c r="F107" s="269"/>
      <c r="G107" s="270"/>
      <c r="H107" s="269">
        <v>31.16</v>
      </c>
      <c r="I107" s="270">
        <v>4</v>
      </c>
      <c r="J107" s="245"/>
      <c r="K107" s="267"/>
      <c r="L107" s="245"/>
      <c r="M107" s="246"/>
      <c r="N107" s="246"/>
    </row>
    <row r="108" spans="1:14" s="184" customFormat="1" ht="26.25" x14ac:dyDescent="0.25">
      <c r="A108" s="267" t="s">
        <v>75</v>
      </c>
      <c r="B108" s="268" t="s">
        <v>189</v>
      </c>
      <c r="C108" s="245" t="s">
        <v>598</v>
      </c>
      <c r="D108" s="269"/>
      <c r="E108" s="270"/>
      <c r="F108" s="269"/>
      <c r="G108" s="270"/>
      <c r="H108" s="269">
        <v>36.5</v>
      </c>
      <c r="I108" s="270">
        <v>30</v>
      </c>
      <c r="J108" s="245"/>
      <c r="K108" s="267"/>
      <c r="L108" s="245"/>
      <c r="M108" s="246"/>
      <c r="N108" s="246"/>
    </row>
    <row r="109" spans="1:14" s="184" customFormat="1" ht="26.25" x14ac:dyDescent="0.25">
      <c r="A109" s="267" t="s">
        <v>76</v>
      </c>
      <c r="B109" s="268" t="s">
        <v>169</v>
      </c>
      <c r="C109" s="245" t="s">
        <v>598</v>
      </c>
      <c r="D109" s="269"/>
      <c r="E109" s="270"/>
      <c r="F109" s="269"/>
      <c r="G109" s="270"/>
      <c r="H109" s="269">
        <v>31.16</v>
      </c>
      <c r="I109" s="270">
        <v>5</v>
      </c>
      <c r="J109" s="245"/>
      <c r="K109" s="267"/>
      <c r="L109" s="245"/>
      <c r="M109" s="246"/>
      <c r="N109" s="246"/>
    </row>
    <row r="110" spans="1:14" s="184" customFormat="1" ht="26.25" x14ac:dyDescent="0.25">
      <c r="A110" s="267" t="s">
        <v>77</v>
      </c>
      <c r="B110" s="268" t="s">
        <v>168</v>
      </c>
      <c r="C110" s="245" t="s">
        <v>598</v>
      </c>
      <c r="D110" s="269"/>
      <c r="E110" s="270"/>
      <c r="F110" s="269"/>
      <c r="G110" s="270"/>
      <c r="H110" s="269">
        <v>134.24</v>
      </c>
      <c r="I110" s="270">
        <v>193</v>
      </c>
      <c r="J110" s="245"/>
      <c r="K110" s="267"/>
      <c r="L110" s="245"/>
      <c r="M110" s="246"/>
      <c r="N110" s="246"/>
    </row>
    <row r="111" spans="1:14" s="184" customFormat="1" ht="26.25" x14ac:dyDescent="0.25">
      <c r="A111" s="267" t="s">
        <v>78</v>
      </c>
      <c r="B111" s="268" t="s">
        <v>197</v>
      </c>
      <c r="C111" s="245" t="s">
        <v>598</v>
      </c>
      <c r="D111" s="269"/>
      <c r="E111" s="270"/>
      <c r="F111" s="269"/>
      <c r="G111" s="270"/>
      <c r="H111" s="269">
        <v>31.16</v>
      </c>
      <c r="I111" s="270">
        <v>11</v>
      </c>
      <c r="J111" s="245"/>
      <c r="K111" s="267"/>
      <c r="L111" s="245"/>
      <c r="M111" s="246"/>
      <c r="N111" s="246"/>
    </row>
    <row r="112" spans="1:14" s="184" customFormat="1" ht="26.25" x14ac:dyDescent="0.25">
      <c r="A112" s="267" t="s">
        <v>79</v>
      </c>
      <c r="B112" s="268" t="s">
        <v>167</v>
      </c>
      <c r="C112" s="289" t="s">
        <v>598</v>
      </c>
      <c r="D112" s="269"/>
      <c r="E112" s="270"/>
      <c r="F112" s="269"/>
      <c r="G112" s="270"/>
      <c r="H112" s="269">
        <v>31.16</v>
      </c>
      <c r="I112" s="270">
        <v>0</v>
      </c>
      <c r="J112" s="245"/>
      <c r="K112" s="267"/>
      <c r="L112" s="245"/>
      <c r="M112" s="246"/>
      <c r="N112" s="246"/>
    </row>
    <row r="113" spans="1:14" s="149" customFormat="1" ht="26.25" x14ac:dyDescent="0.25">
      <c r="A113" s="283" t="s">
        <v>80</v>
      </c>
      <c r="B113" s="284" t="s">
        <v>177</v>
      </c>
      <c r="C113" s="285" t="s">
        <v>735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83" t="s">
        <v>315</v>
      </c>
      <c r="L113" s="262"/>
      <c r="M113" s="265"/>
      <c r="N113" s="265"/>
    </row>
    <row r="114" spans="1:14" s="149" customFormat="1" x14ac:dyDescent="0.25">
      <c r="A114" s="260" t="s">
        <v>81</v>
      </c>
      <c r="B114" s="261" t="s">
        <v>180</v>
      </c>
      <c r="C114" s="262" t="s">
        <v>735</v>
      </c>
      <c r="D114" s="263"/>
      <c r="E114" s="264"/>
      <c r="F114" s="263"/>
      <c r="G114" s="264"/>
      <c r="H114" s="263">
        <v>33.659999999999997</v>
      </c>
      <c r="I114" s="264">
        <v>0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82</v>
      </c>
      <c r="B115" s="261" t="s">
        <v>179</v>
      </c>
      <c r="C115" s="262" t="s">
        <v>735</v>
      </c>
      <c r="D115" s="263"/>
      <c r="E115" s="264"/>
      <c r="F115" s="263"/>
      <c r="G115" s="264"/>
      <c r="H115" s="263">
        <v>43.27</v>
      </c>
      <c r="I115" s="264">
        <v>38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83</v>
      </c>
      <c r="B116" s="261" t="s">
        <v>178</v>
      </c>
      <c r="C116" s="262" t="s">
        <v>735</v>
      </c>
      <c r="D116" s="263"/>
      <c r="E116" s="264"/>
      <c r="F116" s="263"/>
      <c r="G116" s="264"/>
      <c r="H116" s="263">
        <v>33.659999999999997</v>
      </c>
      <c r="I116" s="264">
        <v>1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84</v>
      </c>
      <c r="B117" s="261" t="s">
        <v>175</v>
      </c>
      <c r="C117" s="262" t="s">
        <v>735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0"/>
      <c r="L117" s="262"/>
      <c r="M117" s="265"/>
      <c r="N117" s="265"/>
    </row>
    <row r="118" spans="1:14" s="184" customFormat="1" x14ac:dyDescent="0.25">
      <c r="A118" s="267" t="s">
        <v>85</v>
      </c>
      <c r="B118" s="268" t="s">
        <v>184</v>
      </c>
      <c r="C118" s="245" t="s">
        <v>598</v>
      </c>
      <c r="D118" s="269"/>
      <c r="E118" s="270"/>
      <c r="F118" s="269"/>
      <c r="G118" s="270"/>
      <c r="H118" s="269">
        <v>31.16</v>
      </c>
      <c r="I118" s="270">
        <v>0</v>
      </c>
      <c r="J118" s="245"/>
      <c r="K118" s="267"/>
      <c r="L118" s="245"/>
      <c r="M118" s="246"/>
      <c r="N118" s="246"/>
    </row>
    <row r="119" spans="1:14" s="184" customFormat="1" ht="26.25" x14ac:dyDescent="0.25">
      <c r="A119" s="267" t="s">
        <v>86</v>
      </c>
      <c r="B119" s="268" t="s">
        <v>185</v>
      </c>
      <c r="C119" s="245" t="s">
        <v>598</v>
      </c>
      <c r="D119" s="269"/>
      <c r="E119" s="270"/>
      <c r="F119" s="269"/>
      <c r="G119" s="270"/>
      <c r="H119" s="269">
        <v>31.16</v>
      </c>
      <c r="I119" s="270">
        <v>2</v>
      </c>
      <c r="J119" s="245"/>
      <c r="K119" s="267"/>
      <c r="L119" s="245"/>
      <c r="M119" s="246"/>
      <c r="N119" s="246"/>
    </row>
    <row r="120" spans="1:14" s="184" customFormat="1" x14ac:dyDescent="0.25">
      <c r="A120" s="267" t="s">
        <v>87</v>
      </c>
      <c r="B120" s="268" t="s">
        <v>181</v>
      </c>
      <c r="C120" s="245" t="s">
        <v>598</v>
      </c>
      <c r="D120" s="269"/>
      <c r="E120" s="270"/>
      <c r="F120" s="269"/>
      <c r="G120" s="270"/>
      <c r="H120" s="269">
        <v>31.16</v>
      </c>
      <c r="I120" s="270">
        <v>3</v>
      </c>
      <c r="J120" s="245"/>
      <c r="K120" s="267"/>
      <c r="L120" s="245"/>
      <c r="M120" s="246"/>
      <c r="N120" s="246"/>
    </row>
    <row r="121" spans="1:14" s="184" customFormat="1" ht="26.25" x14ac:dyDescent="0.25">
      <c r="A121" s="267" t="s">
        <v>88</v>
      </c>
      <c r="B121" s="268" t="s">
        <v>172</v>
      </c>
      <c r="C121" s="245" t="s">
        <v>598</v>
      </c>
      <c r="D121" s="269"/>
      <c r="E121" s="270"/>
      <c r="F121" s="269"/>
      <c r="G121" s="270"/>
      <c r="H121" s="269">
        <v>1588.49</v>
      </c>
      <c r="I121" s="270">
        <v>2114</v>
      </c>
      <c r="J121" s="245"/>
      <c r="K121" s="267"/>
      <c r="L121" s="245"/>
      <c r="M121" s="246"/>
      <c r="N121" s="246"/>
    </row>
    <row r="122" spans="1:14" s="184" customFormat="1" ht="26.25" x14ac:dyDescent="0.25">
      <c r="A122" s="267" t="s">
        <v>89</v>
      </c>
      <c r="B122" s="268" t="s">
        <v>173</v>
      </c>
      <c r="C122" s="245" t="s">
        <v>598</v>
      </c>
      <c r="D122" s="269"/>
      <c r="E122" s="270"/>
      <c r="F122" s="269"/>
      <c r="G122" s="270"/>
      <c r="H122" s="269">
        <v>73.88</v>
      </c>
      <c r="I122" s="270">
        <v>100</v>
      </c>
      <c r="J122" s="245"/>
      <c r="K122" s="267"/>
      <c r="L122" s="245"/>
      <c r="M122" s="246"/>
      <c r="N122" s="246"/>
    </row>
    <row r="123" spans="1:14" s="184" customFormat="1" ht="26.25" x14ac:dyDescent="0.25">
      <c r="A123" s="267" t="s">
        <v>90</v>
      </c>
      <c r="B123" s="268" t="s">
        <v>174</v>
      </c>
      <c r="C123" s="245" t="s">
        <v>598</v>
      </c>
      <c r="D123" s="269"/>
      <c r="E123" s="270"/>
      <c r="F123" s="269"/>
      <c r="G123" s="270"/>
      <c r="H123" s="269">
        <v>31.16</v>
      </c>
      <c r="I123" s="270">
        <v>11</v>
      </c>
      <c r="J123" s="245"/>
      <c r="K123" s="267"/>
      <c r="L123" s="245"/>
      <c r="M123" s="246"/>
      <c r="N123" s="246"/>
    </row>
    <row r="124" spans="1:14" s="184" customFormat="1" x14ac:dyDescent="0.25">
      <c r="A124" s="267" t="s">
        <v>91</v>
      </c>
      <c r="B124" s="268" t="s">
        <v>182</v>
      </c>
      <c r="C124" s="245" t="s">
        <v>598</v>
      </c>
      <c r="D124" s="269"/>
      <c r="E124" s="270"/>
      <c r="F124" s="269"/>
      <c r="G124" s="270"/>
      <c r="H124" s="269">
        <v>38.64</v>
      </c>
      <c r="I124" s="270">
        <v>34</v>
      </c>
      <c r="J124" s="245"/>
      <c r="K124" s="267"/>
      <c r="L124" s="245"/>
      <c r="M124" s="246"/>
      <c r="N124" s="246"/>
    </row>
    <row r="125" spans="1:14" s="184" customFormat="1" ht="26.25" x14ac:dyDescent="0.25">
      <c r="A125" s="267" t="s">
        <v>92</v>
      </c>
      <c r="B125" s="268" t="s">
        <v>186</v>
      </c>
      <c r="C125" s="245" t="s">
        <v>598</v>
      </c>
      <c r="D125" s="269"/>
      <c r="E125" s="270"/>
      <c r="F125" s="269"/>
      <c r="G125" s="270"/>
      <c r="H125" s="269">
        <v>35.97</v>
      </c>
      <c r="I125" s="270">
        <v>29</v>
      </c>
      <c r="J125" s="245"/>
      <c r="K125" s="267"/>
      <c r="L125" s="245"/>
      <c r="M125" s="246"/>
      <c r="N125" s="246"/>
    </row>
    <row r="126" spans="1:14" s="184" customFormat="1" ht="26.25" x14ac:dyDescent="0.25">
      <c r="A126" s="267" t="s">
        <v>93</v>
      </c>
      <c r="B126" s="268" t="s">
        <v>183</v>
      </c>
      <c r="C126" s="245" t="s">
        <v>598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103</v>
      </c>
      <c r="B127" s="261" t="s">
        <v>194</v>
      </c>
      <c r="C127" s="266" t="s">
        <v>735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0"/>
      <c r="L127" s="262"/>
      <c r="M127" s="265"/>
      <c r="N127" s="265"/>
    </row>
    <row r="128" spans="1:14" s="184" customFormat="1" ht="26.25" x14ac:dyDescent="0.25">
      <c r="A128" s="267" t="s">
        <v>104</v>
      </c>
      <c r="B128" s="268" t="s">
        <v>195</v>
      </c>
      <c r="C128" s="245" t="s">
        <v>577</v>
      </c>
      <c r="D128" s="269"/>
      <c r="E128" s="270"/>
      <c r="F128" s="269"/>
      <c r="G128" s="270"/>
      <c r="H128" s="269">
        <v>31.16</v>
      </c>
      <c r="I128" s="270">
        <v>0</v>
      </c>
      <c r="J128" s="245"/>
      <c r="K128" s="267"/>
      <c r="L128" s="245"/>
      <c r="M128" s="246"/>
      <c r="N128" s="246"/>
    </row>
    <row r="129" spans="1:14" s="149" customFormat="1" x14ac:dyDescent="0.25">
      <c r="A129" s="260" t="s">
        <v>105</v>
      </c>
      <c r="B129" s="261" t="s">
        <v>196</v>
      </c>
      <c r="C129" s="262" t="s">
        <v>735</v>
      </c>
      <c r="D129" s="263"/>
      <c r="E129" s="264"/>
      <c r="F129" s="263"/>
      <c r="G129" s="264"/>
      <c r="H129" s="263">
        <v>50.49</v>
      </c>
      <c r="I129" s="264">
        <v>0</v>
      </c>
      <c r="J129" s="262"/>
      <c r="K129" s="260"/>
      <c r="L129" s="262"/>
      <c r="M129" s="265"/>
      <c r="N129" s="265"/>
    </row>
    <row r="130" spans="1:14" s="149" customFormat="1" x14ac:dyDescent="0.25">
      <c r="A130" s="260" t="s">
        <v>68</v>
      </c>
      <c r="B130" s="261" t="s">
        <v>166</v>
      </c>
      <c r="C130" s="262" t="s">
        <v>735</v>
      </c>
      <c r="D130" s="263"/>
      <c r="E130" s="264"/>
      <c r="F130" s="263"/>
      <c r="G130" s="264"/>
      <c r="H130" s="263">
        <v>43.81</v>
      </c>
      <c r="I130" s="264">
        <v>39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46</v>
      </c>
      <c r="B131" s="261" t="s">
        <v>193</v>
      </c>
      <c r="C131" s="262" t="s">
        <v>735</v>
      </c>
      <c r="D131" s="263"/>
      <c r="E131" s="264"/>
      <c r="F131" s="263"/>
      <c r="G131" s="264"/>
      <c r="H131" s="263">
        <v>33.659999999999997</v>
      </c>
      <c r="I131" s="264">
        <v>15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17</v>
      </c>
      <c r="B132" s="261" t="s">
        <v>192</v>
      </c>
      <c r="C132" s="262" t="s">
        <v>735</v>
      </c>
      <c r="D132" s="263"/>
      <c r="E132" s="264"/>
      <c r="F132" s="263"/>
      <c r="G132" s="264"/>
      <c r="H132" s="263">
        <v>33.659999999999997</v>
      </c>
      <c r="I132" s="264">
        <v>1</v>
      </c>
      <c r="J132" s="262"/>
      <c r="K132" s="260"/>
      <c r="L132" s="262"/>
      <c r="M132" s="265"/>
      <c r="N132" s="265"/>
    </row>
    <row r="133" spans="1:14" s="149" customFormat="1" ht="26.25" x14ac:dyDescent="0.25">
      <c r="A133" s="260" t="s">
        <v>47</v>
      </c>
      <c r="B133" s="261" t="s">
        <v>139</v>
      </c>
      <c r="C133" s="262" t="s">
        <v>738</v>
      </c>
      <c r="D133" s="263"/>
      <c r="E133" s="264"/>
      <c r="F133" s="263"/>
      <c r="G133" s="264"/>
      <c r="H133" s="263">
        <v>35.799999999999997</v>
      </c>
      <c r="I133" s="264">
        <v>24</v>
      </c>
      <c r="J133" s="262"/>
      <c r="K133" s="260"/>
      <c r="L133" s="262"/>
      <c r="M133" s="265"/>
      <c r="N133" s="265"/>
    </row>
    <row r="134" spans="1:14" s="149" customFormat="1" x14ac:dyDescent="0.25">
      <c r="A134" s="260" t="s">
        <v>64</v>
      </c>
      <c r="B134" s="261" t="s">
        <v>191</v>
      </c>
      <c r="C134" s="262" t="s">
        <v>735</v>
      </c>
      <c r="D134" s="263"/>
      <c r="E134" s="264"/>
      <c r="F134" s="263"/>
      <c r="G134" s="264"/>
      <c r="H134" s="263">
        <v>51.82</v>
      </c>
      <c r="I134" s="264">
        <v>54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130</v>
      </c>
      <c r="B135" s="261" t="s">
        <v>131</v>
      </c>
      <c r="C135" s="262" t="s">
        <v>738</v>
      </c>
      <c r="D135" s="263"/>
      <c r="E135" s="264"/>
      <c r="F135" s="263"/>
      <c r="G135" s="264"/>
      <c r="H135" s="263">
        <v>33.659999999999997</v>
      </c>
      <c r="I135" s="264">
        <v>1</v>
      </c>
      <c r="J135" s="262"/>
      <c r="K135" s="260"/>
      <c r="L135" s="262"/>
      <c r="M135" s="265"/>
      <c r="N135" s="265"/>
    </row>
    <row r="136" spans="1:14" s="149" customFormat="1" ht="26.25" x14ac:dyDescent="0.25">
      <c r="A136" s="260" t="s">
        <v>134</v>
      </c>
      <c r="B136" s="261" t="s">
        <v>133</v>
      </c>
      <c r="C136" s="262" t="s">
        <v>738</v>
      </c>
      <c r="D136" s="263"/>
      <c r="E136" s="264"/>
      <c r="F136" s="263"/>
      <c r="G136" s="264"/>
      <c r="H136" s="263">
        <v>197.06</v>
      </c>
      <c r="I136" s="264">
        <v>283</v>
      </c>
      <c r="J136" s="262"/>
      <c r="K136" s="260"/>
      <c r="L136" s="262"/>
      <c r="M136" s="265"/>
      <c r="N136" s="265"/>
    </row>
    <row r="137" spans="1:14" s="149" customFormat="1" ht="26.25" x14ac:dyDescent="0.25">
      <c r="A137" s="260" t="s">
        <v>543</v>
      </c>
      <c r="B137" s="261" t="s">
        <v>135</v>
      </c>
      <c r="C137" s="262" t="s">
        <v>738</v>
      </c>
      <c r="D137" s="263"/>
      <c r="E137" s="264"/>
      <c r="F137" s="263"/>
      <c r="G137" s="264"/>
      <c r="H137" s="263">
        <v>2122.67</v>
      </c>
      <c r="I137" s="264">
        <v>2809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137</v>
      </c>
      <c r="B138" s="261" t="s">
        <v>138</v>
      </c>
      <c r="C138" s="262" t="s">
        <v>738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ht="26.25" x14ac:dyDescent="0.25">
      <c r="A139" s="260" t="s">
        <v>140</v>
      </c>
      <c r="B139" s="261" t="s">
        <v>141</v>
      </c>
      <c r="C139" s="266" t="s">
        <v>738</v>
      </c>
      <c r="D139" s="263"/>
      <c r="E139" s="264"/>
      <c r="F139" s="263"/>
      <c r="G139" s="264"/>
      <c r="H139" s="263">
        <v>33.659999999999997</v>
      </c>
      <c r="I139" s="264">
        <v>0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142</v>
      </c>
      <c r="B140" s="261" t="s">
        <v>143</v>
      </c>
      <c r="C140" s="262" t="s">
        <v>738</v>
      </c>
      <c r="D140" s="263"/>
      <c r="E140" s="264"/>
      <c r="F140" s="263"/>
      <c r="G140" s="264"/>
      <c r="H140" s="263">
        <v>33.659999999999997</v>
      </c>
      <c r="I140" s="264">
        <v>6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587</v>
      </c>
      <c r="B141" s="261" t="s">
        <v>145</v>
      </c>
      <c r="C141" s="262" t="s">
        <v>738</v>
      </c>
      <c r="D141" s="263"/>
      <c r="E141" s="264"/>
      <c r="F141" s="263"/>
      <c r="G141" s="264"/>
      <c r="H141" s="263">
        <v>202.72</v>
      </c>
      <c r="I141" s="264">
        <v>291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588</v>
      </c>
      <c r="B142" s="261" t="s">
        <v>147</v>
      </c>
      <c r="C142" s="262" t="s">
        <v>738</v>
      </c>
      <c r="D142" s="263"/>
      <c r="E142" s="264"/>
      <c r="F142" s="263"/>
      <c r="G142" s="264"/>
      <c r="H142" s="263">
        <v>86.12</v>
      </c>
      <c r="I142" s="264">
        <v>115</v>
      </c>
      <c r="J142" s="262"/>
      <c r="K142" s="260"/>
      <c r="L142" s="262"/>
      <c r="M142" s="265"/>
      <c r="N142" s="265"/>
    </row>
    <row r="143" spans="1:14" s="149" customFormat="1" x14ac:dyDescent="0.25">
      <c r="A143" s="260" t="s">
        <v>176</v>
      </c>
      <c r="B143" s="261" t="s">
        <v>165</v>
      </c>
      <c r="C143" s="262" t="s">
        <v>738</v>
      </c>
      <c r="D143" s="263"/>
      <c r="E143" s="264"/>
      <c r="F143" s="263"/>
      <c r="G143" s="264"/>
      <c r="H143" s="263">
        <v>75.31</v>
      </c>
      <c r="I143" s="264">
        <v>98</v>
      </c>
      <c r="J143" s="262"/>
      <c r="K143" s="260"/>
      <c r="L143" s="262"/>
      <c r="M143" s="265"/>
      <c r="N143" s="265"/>
    </row>
    <row r="144" spans="1:14" s="199" customFormat="1" ht="26.25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84" customFormat="1" ht="26.25" x14ac:dyDescent="0.25">
      <c r="A145" s="267" t="s">
        <v>107</v>
      </c>
      <c r="B145" s="268">
        <v>67</v>
      </c>
      <c r="C145" s="245" t="s">
        <v>616</v>
      </c>
      <c r="D145" s="269"/>
      <c r="E145" s="270"/>
      <c r="F145" s="269"/>
      <c r="G145" s="270"/>
      <c r="H145" s="269">
        <v>57.5</v>
      </c>
      <c r="I145" s="270">
        <v>0</v>
      </c>
      <c r="J145" s="245"/>
      <c r="K145" s="267"/>
      <c r="L145" s="245"/>
      <c r="M145" s="246"/>
      <c r="N145" s="246"/>
    </row>
    <row r="146" spans="1:14" s="149" customFormat="1" x14ac:dyDescent="0.25">
      <c r="A146" s="260" t="s">
        <v>109</v>
      </c>
      <c r="B146" s="261">
        <v>95</v>
      </c>
      <c r="C146" s="266">
        <v>42736</v>
      </c>
      <c r="D146" s="263"/>
      <c r="E146" s="264"/>
      <c r="F146" s="263"/>
      <c r="G146" s="264"/>
      <c r="H146" s="263">
        <v>57.5</v>
      </c>
      <c r="I146" s="264">
        <v>200</v>
      </c>
      <c r="J146" s="262"/>
      <c r="K146" s="260"/>
      <c r="L146" s="262"/>
      <c r="M146" s="265"/>
      <c r="N146" s="265"/>
    </row>
    <row r="147" spans="1:14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26.25" x14ac:dyDescent="0.25">
      <c r="A148" s="260" t="s">
        <v>156</v>
      </c>
      <c r="B148" s="291">
        <v>61</v>
      </c>
      <c r="C148" s="266">
        <v>42744</v>
      </c>
      <c r="D148" s="263"/>
      <c r="E148" s="264"/>
      <c r="F148" s="263"/>
      <c r="G148" s="264"/>
      <c r="H148" s="263">
        <v>30.15</v>
      </c>
      <c r="I148" s="264">
        <v>500</v>
      </c>
      <c r="J148" s="262"/>
      <c r="K148" s="260"/>
      <c r="L148" s="262"/>
      <c r="M148" s="265"/>
      <c r="N148" s="265"/>
    </row>
    <row r="149" spans="1:14" s="199" customFormat="1" ht="26.25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49" customFormat="1" ht="39" x14ac:dyDescent="0.25">
      <c r="A150" s="260" t="s">
        <v>40</v>
      </c>
      <c r="B150" s="261">
        <v>95</v>
      </c>
      <c r="C150" s="266" t="s">
        <v>732</v>
      </c>
      <c r="D150" s="263"/>
      <c r="E150" s="264"/>
      <c r="F150" s="263"/>
      <c r="G150" s="264"/>
      <c r="H150" s="263">
        <v>16</v>
      </c>
      <c r="I150" s="264">
        <v>700</v>
      </c>
      <c r="J150" s="262"/>
      <c r="K150" s="260"/>
      <c r="L150" s="262"/>
      <c r="M150" s="265"/>
      <c r="N150" s="265"/>
    </row>
    <row r="151" spans="1:14" s="199" customFormat="1" ht="39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52"/>
      <c r="L151" s="249"/>
      <c r="M151" s="253"/>
      <c r="N151" s="253"/>
    </row>
    <row r="152" spans="1:14" s="149" customFormat="1" ht="26.25" x14ac:dyDescent="0.25">
      <c r="A152" s="260" t="s">
        <v>355</v>
      </c>
      <c r="B152" s="261" t="s">
        <v>356</v>
      </c>
      <c r="C152" s="266" t="s">
        <v>739</v>
      </c>
      <c r="D152" s="263"/>
      <c r="E152" s="264"/>
      <c r="F152" s="263"/>
      <c r="G152" s="264"/>
      <c r="H152" s="263">
        <v>17.100000000000001</v>
      </c>
      <c r="I152" s="264">
        <v>202</v>
      </c>
      <c r="J152" s="262"/>
      <c r="K152" s="260"/>
      <c r="L152" s="262"/>
      <c r="M152" s="265"/>
      <c r="N152" s="265"/>
    </row>
    <row r="153" spans="1:14" s="184" customFormat="1" x14ac:dyDescent="0.25">
      <c r="A153" s="245"/>
      <c r="B153" s="245"/>
      <c r="C153" s="245"/>
      <c r="D153" s="292">
        <f t="shared" ref="D153:I153" si="0">SUM(D2:D150)</f>
        <v>22063.760000000002</v>
      </c>
      <c r="E153" s="270">
        <f t="shared" si="0"/>
        <v>235068.08</v>
      </c>
      <c r="F153" s="292">
        <f t="shared" si="0"/>
        <v>7202.5499999999993</v>
      </c>
      <c r="G153" s="270">
        <f t="shared" si="0"/>
        <v>9111</v>
      </c>
      <c r="H153" s="292">
        <f t="shared" si="0"/>
        <v>6021.7899999999981</v>
      </c>
      <c r="I153" s="270">
        <f t="shared" si="0"/>
        <v>8170</v>
      </c>
      <c r="J153" s="292"/>
      <c r="K153" s="245"/>
      <c r="L153" s="245"/>
      <c r="M153" s="246"/>
      <c r="N153" s="246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  <row r="155" spans="1:14" s="150" customFormat="1" x14ac:dyDescent="0.25">
      <c r="A155" s="293"/>
      <c r="B155" s="293"/>
      <c r="C155" s="293"/>
      <c r="D155" s="293"/>
      <c r="E155" s="294"/>
      <c r="F155" s="293"/>
      <c r="G155" s="294"/>
      <c r="H155" s="293"/>
      <c r="I155" s="294"/>
      <c r="J155" s="293"/>
      <c r="K155" s="293"/>
      <c r="L155" s="293"/>
      <c r="M155" s="295"/>
      <c r="N155" s="295"/>
    </row>
  </sheetData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752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27"/>
      <c r="B4" s="528"/>
      <c r="C4" s="528"/>
      <c r="D4" s="528"/>
      <c r="E4" s="528"/>
      <c r="F4" s="528"/>
      <c r="G4" s="5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320275.20000000001</v>
      </c>
      <c r="D13" s="34"/>
      <c r="E13" s="35" t="s">
        <v>33</v>
      </c>
      <c r="F13" s="34"/>
      <c r="G13" s="42">
        <v>23324.02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3558</v>
      </c>
      <c r="D15" s="34"/>
      <c r="E15" s="35" t="s">
        <v>10</v>
      </c>
      <c r="F15" s="34"/>
      <c r="G15" s="42">
        <v>3378.95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6479</v>
      </c>
      <c r="D17" s="34"/>
      <c r="E17" s="35" t="s">
        <v>278</v>
      </c>
      <c r="F17" s="34"/>
      <c r="G17" s="42">
        <v>4687.6099999999997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Z154"/>
  <sheetViews>
    <sheetView zoomScale="110" zoomScaleNormal="110" workbookViewId="0">
      <pane ySplit="2" topLeftCell="A81" activePane="bottomLeft" state="frozen"/>
      <selection pane="bottomLeft" activeCell="B99" sqref="B9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715</v>
      </c>
      <c r="D3" s="257"/>
      <c r="E3" s="258"/>
      <c r="F3" s="257">
        <v>1970.43</v>
      </c>
      <c r="G3" s="258">
        <v>2552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718</v>
      </c>
      <c r="D4" s="263"/>
      <c r="E4" s="264"/>
      <c r="F4" s="263">
        <v>121.27</v>
      </c>
      <c r="G4" s="264">
        <v>101</v>
      </c>
      <c r="H4" s="263"/>
      <c r="I4" s="264"/>
      <c r="J4" s="262" t="s">
        <v>10</v>
      </c>
      <c r="K4" s="260"/>
      <c r="L4" s="262"/>
      <c r="M4" s="265"/>
      <c r="N4" s="265"/>
    </row>
    <row r="5" spans="1:14" s="359" customFormat="1" x14ac:dyDescent="0.25">
      <c r="A5" s="353" t="s">
        <v>36</v>
      </c>
      <c r="B5" s="354">
        <v>3039781986</v>
      </c>
      <c r="C5" s="518" t="s">
        <v>569</v>
      </c>
      <c r="D5" s="356"/>
      <c r="E5" s="357"/>
      <c r="F5" s="356">
        <v>43.41</v>
      </c>
      <c r="G5" s="357">
        <v>0</v>
      </c>
      <c r="H5" s="356"/>
      <c r="I5" s="357"/>
      <c r="J5" s="355" t="s">
        <v>10</v>
      </c>
      <c r="K5" s="353"/>
      <c r="L5" s="355"/>
      <c r="M5" s="358"/>
      <c r="N5" s="358"/>
    </row>
    <row r="6" spans="1:14" s="148" customFormat="1" x14ac:dyDescent="0.25">
      <c r="A6" s="254" t="s">
        <v>34</v>
      </c>
      <c r="B6" s="255">
        <v>3039472917</v>
      </c>
      <c r="C6" s="256" t="s">
        <v>714</v>
      </c>
      <c r="D6" s="257"/>
      <c r="E6" s="258"/>
      <c r="F6" s="257">
        <v>61.75</v>
      </c>
      <c r="G6" s="258">
        <v>23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720</v>
      </c>
      <c r="D7" s="263"/>
      <c r="E7" s="264"/>
      <c r="F7" s="263">
        <v>147.82</v>
      </c>
      <c r="G7" s="264">
        <v>136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713</v>
      </c>
      <c r="D8" s="263"/>
      <c r="E8" s="264"/>
      <c r="F8" s="263">
        <v>92.54</v>
      </c>
      <c r="G8" s="264">
        <v>58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715</v>
      </c>
      <c r="D9" s="263"/>
      <c r="E9" s="264"/>
      <c r="F9" s="263">
        <v>55.06</v>
      </c>
      <c r="G9" s="264">
        <v>3</v>
      </c>
      <c r="H9" s="263"/>
      <c r="I9" s="264"/>
      <c r="J9" s="262" t="s">
        <v>10</v>
      </c>
      <c r="K9" s="260"/>
      <c r="L9" s="262"/>
      <c r="M9" s="265"/>
      <c r="N9" s="265"/>
    </row>
    <row r="10" spans="1:14" s="184" customFormat="1" x14ac:dyDescent="0.25">
      <c r="A10" s="267" t="s">
        <v>44</v>
      </c>
      <c r="B10" s="268">
        <v>3039640691</v>
      </c>
      <c r="C10" s="245" t="s">
        <v>613</v>
      </c>
      <c r="D10" s="269"/>
      <c r="E10" s="270"/>
      <c r="F10" s="269">
        <v>33.25</v>
      </c>
      <c r="G10" s="270">
        <v>15</v>
      </c>
      <c r="H10" s="269"/>
      <c r="I10" s="270"/>
      <c r="J10" s="245" t="s">
        <v>10</v>
      </c>
      <c r="K10" s="267"/>
      <c r="L10" s="245"/>
      <c r="M10" s="246"/>
      <c r="N10" s="246"/>
    </row>
    <row r="11" spans="1:14" s="149" customFormat="1" x14ac:dyDescent="0.25">
      <c r="A11" s="260" t="s">
        <v>43</v>
      </c>
      <c r="B11" s="261">
        <v>3039782225</v>
      </c>
      <c r="C11" s="262" t="s">
        <v>718</v>
      </c>
      <c r="D11" s="263"/>
      <c r="E11" s="264"/>
      <c r="F11" s="263">
        <v>108.32</v>
      </c>
      <c r="G11" s="264">
        <v>84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715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635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718</v>
      </c>
      <c r="D14" s="263"/>
      <c r="E14" s="264"/>
      <c r="F14" s="263">
        <v>198.12</v>
      </c>
      <c r="G14" s="264">
        <v>202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720</v>
      </c>
      <c r="D15" s="263"/>
      <c r="E15" s="264"/>
      <c r="F15" s="263">
        <v>72.56</v>
      </c>
      <c r="G15" s="264">
        <v>37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718</v>
      </c>
      <c r="D16" s="263"/>
      <c r="E16" s="264"/>
      <c r="F16" s="263">
        <v>278.02999999999997</v>
      </c>
      <c r="G16" s="264">
        <v>307</v>
      </c>
      <c r="H16" s="263"/>
      <c r="I16" s="264"/>
      <c r="J16" s="262" t="s">
        <v>10</v>
      </c>
      <c r="K16" s="260"/>
      <c r="L16" s="262"/>
      <c r="M16" s="265"/>
      <c r="N16" s="265"/>
    </row>
    <row r="17" spans="1:78" s="149" customFormat="1" ht="26.25" x14ac:dyDescent="0.25">
      <c r="A17" s="260" t="s">
        <v>69</v>
      </c>
      <c r="B17" s="261">
        <v>3022125574</v>
      </c>
      <c r="C17" s="262" t="s">
        <v>721</v>
      </c>
      <c r="D17" s="263"/>
      <c r="E17" s="264"/>
      <c r="F17" s="263">
        <v>43.95</v>
      </c>
      <c r="G17" s="264">
        <v>26</v>
      </c>
      <c r="H17" s="263"/>
      <c r="I17" s="264"/>
      <c r="J17" s="262" t="s">
        <v>10</v>
      </c>
      <c r="K17" s="260"/>
      <c r="L17" s="262"/>
      <c r="M17" s="265"/>
      <c r="N17" s="265"/>
    </row>
    <row r="18" spans="1:78" s="149" customFormat="1" x14ac:dyDescent="0.25">
      <c r="A18" s="260" t="s">
        <v>68</v>
      </c>
      <c r="B18" s="261">
        <v>3022125841</v>
      </c>
      <c r="C18" s="266" t="s">
        <v>721</v>
      </c>
      <c r="D18" s="263"/>
      <c r="E18" s="264"/>
      <c r="F18" s="263">
        <v>55.01</v>
      </c>
      <c r="G18" s="264">
        <v>14</v>
      </c>
      <c r="H18" s="263"/>
      <c r="I18" s="264"/>
      <c r="J18" s="262" t="s">
        <v>10</v>
      </c>
      <c r="K18" s="260"/>
      <c r="L18" s="262"/>
      <c r="M18" s="265"/>
      <c r="N18" s="265"/>
    </row>
    <row r="19" spans="1:78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78" s="496" customFormat="1" ht="25.5" x14ac:dyDescent="0.2">
      <c r="A20" s="490" t="s">
        <v>310</v>
      </c>
      <c r="B20" s="491">
        <v>8463322</v>
      </c>
      <c r="C20" s="492" t="s">
        <v>721</v>
      </c>
      <c r="D20" s="493">
        <v>5365.11</v>
      </c>
      <c r="E20" s="494">
        <v>85100</v>
      </c>
      <c r="F20" s="493"/>
      <c r="G20" s="494"/>
      <c r="H20" s="493"/>
      <c r="I20" s="494"/>
      <c r="J20" s="492" t="s">
        <v>33</v>
      </c>
      <c r="K20" s="495"/>
      <c r="L20" s="492"/>
      <c r="M20" s="496" t="s">
        <v>447</v>
      </c>
      <c r="N20" s="496" t="s">
        <v>490</v>
      </c>
      <c r="O20" s="497"/>
      <c r="P20" s="497"/>
      <c r="Q20" s="497"/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7"/>
      <c r="AV20" s="497"/>
      <c r="AW20" s="497"/>
      <c r="AX20" s="497"/>
      <c r="AY20" s="497"/>
      <c r="AZ20" s="497"/>
      <c r="BA20" s="497"/>
      <c r="BB20" s="497"/>
      <c r="BC20" s="497"/>
      <c r="BD20" s="497"/>
      <c r="BE20" s="497"/>
      <c r="BF20" s="497"/>
      <c r="BG20" s="497"/>
      <c r="BH20" s="497"/>
      <c r="BI20" s="497"/>
      <c r="BJ20" s="497"/>
      <c r="BK20" s="497"/>
      <c r="BL20" s="497"/>
      <c r="BM20" s="497"/>
      <c r="BN20" s="497"/>
      <c r="BO20" s="497"/>
      <c r="BP20" s="497"/>
      <c r="BQ20" s="497"/>
      <c r="BR20" s="497"/>
      <c r="BS20" s="497"/>
      <c r="BT20" s="497"/>
      <c r="BU20" s="497"/>
      <c r="BV20" s="497"/>
      <c r="BW20" s="497"/>
      <c r="BX20" s="497"/>
      <c r="BY20" s="497"/>
      <c r="BZ20" s="497"/>
    </row>
    <row r="21" spans="1:78" s="331" customFormat="1" ht="36.75" customHeight="1" x14ac:dyDescent="0.25">
      <c r="A21" s="485" t="s">
        <v>709</v>
      </c>
      <c r="B21" s="486">
        <v>15145888</v>
      </c>
      <c r="C21" s="327"/>
      <c r="D21" s="328"/>
      <c r="E21" s="329"/>
      <c r="F21" s="328"/>
      <c r="G21" s="329"/>
      <c r="H21" s="328"/>
      <c r="I21" s="329"/>
      <c r="J21" s="327"/>
      <c r="K21" s="325"/>
      <c r="L21" s="327"/>
      <c r="M21" s="330"/>
      <c r="N21" s="330"/>
    </row>
    <row r="22" spans="1:78" s="149" customFormat="1" x14ac:dyDescent="0.25">
      <c r="A22" s="260" t="s">
        <v>113</v>
      </c>
      <c r="B22" s="261">
        <v>5089282</v>
      </c>
      <c r="C22" s="262" t="s">
        <v>721</v>
      </c>
      <c r="D22" s="263">
        <v>474.7</v>
      </c>
      <c r="E22" s="264">
        <v>600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78" s="149" customFormat="1" x14ac:dyDescent="0.25">
      <c r="A23" s="260" t="s">
        <v>252</v>
      </c>
      <c r="B23" s="262">
        <v>8239130</v>
      </c>
      <c r="C23" s="262" t="s">
        <v>721</v>
      </c>
      <c r="D23" s="263">
        <v>28.58</v>
      </c>
      <c r="E23" s="264">
        <v>175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78" s="149" customFormat="1" x14ac:dyDescent="0.25">
      <c r="A24" s="260" t="s">
        <v>114</v>
      </c>
      <c r="B24" s="261">
        <v>5089344</v>
      </c>
      <c r="C24" s="262" t="s">
        <v>721</v>
      </c>
      <c r="D24" s="263">
        <v>18.52</v>
      </c>
      <c r="E24" s="264">
        <v>49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78" s="149" customFormat="1" ht="26.25" x14ac:dyDescent="0.25">
      <c r="A25" s="260" t="s">
        <v>19</v>
      </c>
      <c r="B25" s="261">
        <v>7010755</v>
      </c>
      <c r="C25" s="262" t="s">
        <v>721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78" s="149" customFormat="1" x14ac:dyDescent="0.25">
      <c r="A26" s="260" t="s">
        <v>115</v>
      </c>
      <c r="B26" s="261">
        <v>9261200</v>
      </c>
      <c r="C26" s="262" t="s">
        <v>721</v>
      </c>
      <c r="D26" s="263">
        <v>77.73</v>
      </c>
      <c r="E26" s="264">
        <v>777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78" s="149" customFormat="1" x14ac:dyDescent="0.25">
      <c r="A27" s="260" t="s">
        <v>116</v>
      </c>
      <c r="B27" s="261">
        <v>5105092</v>
      </c>
      <c r="C27" s="262" t="s">
        <v>721</v>
      </c>
      <c r="D27" s="263">
        <v>367.15</v>
      </c>
      <c r="E27" s="264">
        <v>3890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78" s="149" customFormat="1" x14ac:dyDescent="0.25">
      <c r="A28" s="260" t="s">
        <v>119</v>
      </c>
      <c r="B28" s="261">
        <v>5074402</v>
      </c>
      <c r="C28" s="262" t="s">
        <v>725</v>
      </c>
      <c r="D28" s="263">
        <v>14.6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78" s="149" customFormat="1" x14ac:dyDescent="0.25">
      <c r="A29" s="260" t="s">
        <v>248</v>
      </c>
      <c r="B29" s="261">
        <v>5264802</v>
      </c>
      <c r="C29" s="262" t="s">
        <v>725</v>
      </c>
      <c r="D29" s="263">
        <v>112.33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78" s="149" customFormat="1" x14ac:dyDescent="0.25">
      <c r="A30" s="260" t="s">
        <v>264</v>
      </c>
      <c r="B30" s="261">
        <v>8234139</v>
      </c>
      <c r="C30" s="266" t="s">
        <v>725</v>
      </c>
      <c r="D30" s="263">
        <v>17.87</v>
      </c>
      <c r="E30" s="264">
        <v>41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78" s="149" customFormat="1" x14ac:dyDescent="0.25">
      <c r="A31" s="260" t="s">
        <v>250</v>
      </c>
      <c r="B31" s="261">
        <v>5074495</v>
      </c>
      <c r="C31" s="262" t="s">
        <v>725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78" s="149" customFormat="1" ht="26.25" x14ac:dyDescent="0.25">
      <c r="A32" s="260" t="s">
        <v>123</v>
      </c>
      <c r="B32" s="261">
        <v>5036644</v>
      </c>
      <c r="C32" s="262" t="s">
        <v>724</v>
      </c>
      <c r="D32" s="263">
        <v>166.47</v>
      </c>
      <c r="E32" s="264">
        <v>350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84" customFormat="1" ht="26.25" x14ac:dyDescent="0.25">
      <c r="A33" s="267" t="s">
        <v>127</v>
      </c>
      <c r="B33" s="268">
        <v>5020429</v>
      </c>
      <c r="C33" s="245" t="s">
        <v>724</v>
      </c>
      <c r="D33" s="269">
        <v>22.18</v>
      </c>
      <c r="E33" s="270">
        <v>150</v>
      </c>
      <c r="F33" s="269"/>
      <c r="G33" s="270"/>
      <c r="H33" s="269"/>
      <c r="I33" s="270"/>
      <c r="J33" s="245" t="s">
        <v>33</v>
      </c>
      <c r="K33" s="267"/>
      <c r="L33" s="245"/>
      <c r="M33" s="246" t="s">
        <v>447</v>
      </c>
      <c r="N33" s="246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724</v>
      </c>
      <c r="D34" s="263">
        <v>242.68</v>
      </c>
      <c r="E34" s="264">
        <v>1553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724</v>
      </c>
      <c r="D35" s="263">
        <v>180.16</v>
      </c>
      <c r="E35" s="264">
        <v>2115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724</v>
      </c>
      <c r="D36" s="263">
        <v>44.43</v>
      </c>
      <c r="E36" s="264">
        <v>384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724</v>
      </c>
      <c r="D37" s="263">
        <v>683.74</v>
      </c>
      <c r="E37" s="264">
        <v>8040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724</v>
      </c>
      <c r="D38" s="263">
        <v>40.92</v>
      </c>
      <c r="E38" s="264">
        <v>329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724</v>
      </c>
      <c r="D39" s="263">
        <v>22.62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59" customFormat="1" ht="26.25" x14ac:dyDescent="0.25">
      <c r="A40" s="353" t="s">
        <v>254</v>
      </c>
      <c r="B40" s="354">
        <v>4955887</v>
      </c>
      <c r="C40" s="355" t="s">
        <v>541</v>
      </c>
      <c r="D40" s="356">
        <v>0</v>
      </c>
      <c r="E40" s="357">
        <v>0</v>
      </c>
      <c r="F40" s="356"/>
      <c r="G40" s="357"/>
      <c r="H40" s="356"/>
      <c r="I40" s="357"/>
      <c r="J40" s="355" t="s">
        <v>33</v>
      </c>
      <c r="K40" s="353"/>
      <c r="L40" s="355"/>
      <c r="M40" s="358" t="s">
        <v>447</v>
      </c>
      <c r="N40" s="358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723</v>
      </c>
      <c r="D41" s="263">
        <v>226.31</v>
      </c>
      <c r="E41" s="264">
        <v>2216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724</v>
      </c>
      <c r="D42" s="263">
        <v>22.62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724</v>
      </c>
      <c r="D43" s="263">
        <v>16.059999999999999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724</v>
      </c>
      <c r="D44" s="263">
        <v>1170.17</v>
      </c>
      <c r="E44" s="264">
        <v>10350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724</v>
      </c>
      <c r="D45" s="263">
        <v>25.7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724</v>
      </c>
      <c r="D46" s="263">
        <v>286.95</v>
      </c>
      <c r="E46" s="264">
        <v>1190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510" customFormat="1" ht="26.25" x14ac:dyDescent="0.25">
      <c r="A47" s="504" t="s">
        <v>242</v>
      </c>
      <c r="B47" s="505">
        <v>4426036</v>
      </c>
      <c r="C47" s="506" t="s">
        <v>724</v>
      </c>
      <c r="D47" s="507">
        <v>338.7</v>
      </c>
      <c r="E47" s="508">
        <v>1950</v>
      </c>
      <c r="F47" s="507"/>
      <c r="G47" s="508"/>
      <c r="H47" s="507"/>
      <c r="I47" s="508"/>
      <c r="J47" s="506" t="s">
        <v>33</v>
      </c>
      <c r="K47" s="504"/>
      <c r="L47" s="506"/>
      <c r="M47" s="509" t="s">
        <v>447</v>
      </c>
      <c r="N47" s="509" t="s">
        <v>456</v>
      </c>
    </row>
    <row r="48" spans="1:14" s="149" customFormat="1" x14ac:dyDescent="0.25">
      <c r="A48" s="260" t="s">
        <v>34</v>
      </c>
      <c r="B48" s="261">
        <v>5028615</v>
      </c>
      <c r="C48" s="262" t="s">
        <v>724</v>
      </c>
      <c r="D48" s="263">
        <v>548.79</v>
      </c>
      <c r="E48" s="264">
        <v>5360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724</v>
      </c>
      <c r="D49" s="263">
        <v>387.17</v>
      </c>
      <c r="E49" s="264">
        <v>3178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510" customFormat="1" ht="26.25" x14ac:dyDescent="0.25">
      <c r="A50" s="504" t="s">
        <v>46</v>
      </c>
      <c r="B50" s="505">
        <v>5027654</v>
      </c>
      <c r="C50" s="506" t="s">
        <v>724</v>
      </c>
      <c r="D50" s="507">
        <v>203.57</v>
      </c>
      <c r="E50" s="508">
        <v>2227</v>
      </c>
      <c r="F50" s="507"/>
      <c r="G50" s="508"/>
      <c r="H50" s="507"/>
      <c r="I50" s="508"/>
      <c r="J50" s="506" t="s">
        <v>33</v>
      </c>
      <c r="K50" s="504"/>
      <c r="L50" s="506"/>
      <c r="M50" s="509" t="s">
        <v>447</v>
      </c>
      <c r="N50" s="509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724</v>
      </c>
      <c r="D51" s="263">
        <v>16.059999999999999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724</v>
      </c>
      <c r="D52" s="263">
        <v>666.01</v>
      </c>
      <c r="E52" s="264">
        <v>3840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724</v>
      </c>
      <c r="D53" s="263">
        <v>22.62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510" customFormat="1" ht="26.25" x14ac:dyDescent="0.25">
      <c r="A54" s="504" t="s">
        <v>17</v>
      </c>
      <c r="B54" s="505">
        <v>8934894</v>
      </c>
      <c r="C54" s="506" t="s">
        <v>724</v>
      </c>
      <c r="D54" s="507">
        <v>18.420000000000002</v>
      </c>
      <c r="E54" s="508">
        <v>47</v>
      </c>
      <c r="F54" s="507"/>
      <c r="G54" s="508"/>
      <c r="H54" s="507"/>
      <c r="I54" s="508"/>
      <c r="J54" s="506" t="s">
        <v>33</v>
      </c>
      <c r="K54" s="504"/>
      <c r="L54" s="506"/>
      <c r="M54" s="509" t="s">
        <v>447</v>
      </c>
      <c r="N54" s="509" t="s">
        <v>458</v>
      </c>
    </row>
    <row r="55" spans="1:14" s="517" customFormat="1" x14ac:dyDescent="0.25">
      <c r="A55" s="511" t="s">
        <v>240</v>
      </c>
      <c r="B55" s="512">
        <v>5031405</v>
      </c>
      <c r="C55" s="513" t="s">
        <v>728</v>
      </c>
      <c r="D55" s="514">
        <v>1378.5</v>
      </c>
      <c r="E55" s="515">
        <v>15960</v>
      </c>
      <c r="F55" s="514"/>
      <c r="G55" s="515"/>
      <c r="H55" s="514"/>
      <c r="I55" s="515"/>
      <c r="J55" s="513" t="s">
        <v>33</v>
      </c>
      <c r="K55" s="511"/>
      <c r="L55" s="513"/>
      <c r="M55" s="516" t="s">
        <v>447</v>
      </c>
      <c r="N55" s="516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727</v>
      </c>
      <c r="D56" s="263">
        <v>18.829999999999998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724</v>
      </c>
      <c r="D57" s="263">
        <v>965.71</v>
      </c>
      <c r="E57" s="264">
        <v>13440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726</v>
      </c>
      <c r="D58" s="263">
        <v>480</v>
      </c>
      <c r="E58" s="264">
        <v>147.19999999999999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39" x14ac:dyDescent="0.25">
      <c r="A59" s="260" t="s">
        <v>153</v>
      </c>
      <c r="B59" s="261">
        <v>8327232</v>
      </c>
      <c r="C59" s="262" t="s">
        <v>723</v>
      </c>
      <c r="D59" s="263">
        <v>67.05</v>
      </c>
      <c r="E59" s="264">
        <v>47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359" customFormat="1" ht="26.25" x14ac:dyDescent="0.25">
      <c r="A60" s="353" t="s">
        <v>255</v>
      </c>
      <c r="B60" s="354">
        <v>6973803</v>
      </c>
      <c r="C60" s="355" t="s">
        <v>561</v>
      </c>
      <c r="D60" s="356">
        <v>0</v>
      </c>
      <c r="E60" s="357">
        <v>0</v>
      </c>
      <c r="F60" s="356"/>
      <c r="G60" s="357"/>
      <c r="H60" s="356"/>
      <c r="I60" s="357"/>
      <c r="J60" s="355" t="s">
        <v>33</v>
      </c>
      <c r="K60" s="353"/>
      <c r="L60" s="355"/>
      <c r="M60" s="358" t="s">
        <v>447</v>
      </c>
      <c r="N60" s="358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723</v>
      </c>
      <c r="D61" s="263">
        <v>916.39</v>
      </c>
      <c r="E61" s="264">
        <v>12517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359" customFormat="1" x14ac:dyDescent="0.25">
      <c r="A62" s="353" t="s">
        <v>253</v>
      </c>
      <c r="B62" s="354">
        <v>4934809</v>
      </c>
      <c r="C62" s="355" t="s">
        <v>561</v>
      </c>
      <c r="D62" s="356">
        <v>0</v>
      </c>
      <c r="E62" s="357">
        <v>0</v>
      </c>
      <c r="F62" s="356"/>
      <c r="G62" s="357"/>
      <c r="H62" s="356"/>
      <c r="I62" s="357"/>
      <c r="J62" s="355" t="s">
        <v>33</v>
      </c>
      <c r="K62" s="353"/>
      <c r="L62" s="355"/>
      <c r="M62" s="358" t="s">
        <v>447</v>
      </c>
      <c r="N62" s="358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723</v>
      </c>
      <c r="D63" s="263">
        <v>275.44</v>
      </c>
      <c r="E63" s="264">
        <v>1840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723</v>
      </c>
      <c r="D64" s="263">
        <v>27.28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723</v>
      </c>
      <c r="D65" s="263">
        <v>19.16</v>
      </c>
      <c r="E65" s="264">
        <v>57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84" customFormat="1" ht="26.25" x14ac:dyDescent="0.25">
      <c r="A66" s="267" t="s">
        <v>24</v>
      </c>
      <c r="B66" s="268">
        <v>4892432</v>
      </c>
      <c r="C66" s="245" t="s">
        <v>623</v>
      </c>
      <c r="D66" s="269">
        <v>71.010000000000005</v>
      </c>
      <c r="E66" s="270">
        <v>714</v>
      </c>
      <c r="F66" s="269"/>
      <c r="G66" s="270"/>
      <c r="H66" s="269"/>
      <c r="I66" s="270"/>
      <c r="J66" s="245" t="s">
        <v>33</v>
      </c>
      <c r="K66" s="267"/>
      <c r="L66" s="245"/>
      <c r="M66" s="246" t="s">
        <v>447</v>
      </c>
      <c r="N66" s="246" t="s">
        <v>484</v>
      </c>
    </row>
    <row r="67" spans="1:14" s="184" customFormat="1" x14ac:dyDescent="0.25">
      <c r="A67" s="267" t="s">
        <v>21</v>
      </c>
      <c r="B67" s="268">
        <v>4968878</v>
      </c>
      <c r="C67" s="289" t="s">
        <v>623</v>
      </c>
      <c r="D67" s="269">
        <v>62.42</v>
      </c>
      <c r="E67" s="270">
        <v>615</v>
      </c>
      <c r="F67" s="269"/>
      <c r="G67" s="270"/>
      <c r="H67" s="269"/>
      <c r="I67" s="270"/>
      <c r="J67" s="245" t="s">
        <v>33</v>
      </c>
      <c r="K67" s="267"/>
      <c r="L67" s="245"/>
      <c r="M67" s="246" t="s">
        <v>447</v>
      </c>
      <c r="N67" s="246" t="s">
        <v>482</v>
      </c>
    </row>
    <row r="68" spans="1:14" s="184" customFormat="1" ht="26.25" x14ac:dyDescent="0.25">
      <c r="A68" s="267" t="s">
        <v>31</v>
      </c>
      <c r="B68" s="268">
        <v>5041139</v>
      </c>
      <c r="C68" s="245" t="s">
        <v>623</v>
      </c>
      <c r="D68" s="269">
        <v>90.96</v>
      </c>
      <c r="E68" s="270">
        <v>982</v>
      </c>
      <c r="F68" s="269"/>
      <c r="G68" s="270"/>
      <c r="H68" s="269"/>
      <c r="I68" s="270"/>
      <c r="J68" s="245" t="s">
        <v>33</v>
      </c>
      <c r="K68" s="267"/>
      <c r="L68" s="245"/>
      <c r="M68" s="246" t="s">
        <v>447</v>
      </c>
      <c r="N68" s="246" t="s">
        <v>488</v>
      </c>
    </row>
    <row r="69" spans="1:14" s="184" customFormat="1" ht="26.25" x14ac:dyDescent="0.25">
      <c r="A69" s="267" t="s">
        <v>256</v>
      </c>
      <c r="B69" s="268">
        <v>5276024</v>
      </c>
      <c r="C69" s="245" t="s">
        <v>623</v>
      </c>
      <c r="D69" s="269">
        <v>22.5</v>
      </c>
      <c r="E69" s="270">
        <v>150</v>
      </c>
      <c r="F69" s="269"/>
      <c r="G69" s="270"/>
      <c r="H69" s="269"/>
      <c r="I69" s="270"/>
      <c r="J69" s="245" t="s">
        <v>33</v>
      </c>
      <c r="K69" s="267"/>
      <c r="L69" s="245"/>
      <c r="M69" s="246" t="s">
        <v>447</v>
      </c>
      <c r="N69" s="246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723</v>
      </c>
      <c r="D70" s="263">
        <v>20.03</v>
      </c>
      <c r="E70" s="264">
        <v>68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723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716</v>
      </c>
      <c r="D73" s="263">
        <v>198</v>
      </c>
      <c r="E73" s="264">
        <v>1733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716</v>
      </c>
      <c r="D74" s="263">
        <v>171</v>
      </c>
      <c r="E74" s="264">
        <v>1252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716</v>
      </c>
      <c r="D75" s="263">
        <v>108</v>
      </c>
      <c r="E75" s="264">
        <v>600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716</v>
      </c>
      <c r="D76" s="263">
        <v>45</v>
      </c>
      <c r="E76" s="264">
        <v>148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716</v>
      </c>
      <c r="D77" s="263">
        <v>38</v>
      </c>
      <c r="E77" s="264">
        <v>73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716</v>
      </c>
      <c r="D78" s="263">
        <v>346</v>
      </c>
      <c r="E78" s="264">
        <v>3068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716</v>
      </c>
      <c r="D79" s="263">
        <v>172</v>
      </c>
      <c r="E79" s="264">
        <v>1554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716</v>
      </c>
      <c r="D80" s="263">
        <v>55</v>
      </c>
      <c r="E80" s="264">
        <v>250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716</v>
      </c>
      <c r="D81" s="263">
        <v>60</v>
      </c>
      <c r="E81" s="264">
        <v>98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716</v>
      </c>
      <c r="D82" s="263">
        <v>31</v>
      </c>
      <c r="E82" s="264">
        <v>4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716</v>
      </c>
      <c r="D83" s="263">
        <v>46</v>
      </c>
      <c r="E83" s="264">
        <v>159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716</v>
      </c>
      <c r="D84" s="257">
        <v>92</v>
      </c>
      <c r="E84" s="258">
        <v>466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2" t="s">
        <v>716</v>
      </c>
      <c r="D85" s="263">
        <v>1138</v>
      </c>
      <c r="E85" s="264">
        <v>10200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7215400</v>
      </c>
      <c r="C86" s="262" t="s">
        <v>716</v>
      </c>
      <c r="D86" s="263">
        <v>49</v>
      </c>
      <c r="E86" s="264">
        <v>106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716</v>
      </c>
      <c r="D87" s="263">
        <v>57</v>
      </c>
      <c r="E87" s="264">
        <v>11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716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2" t="s">
        <v>716</v>
      </c>
      <c r="D89" s="263">
        <v>61</v>
      </c>
      <c r="E89" s="264">
        <v>232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84" customFormat="1" ht="26.25" x14ac:dyDescent="0.25">
      <c r="A90" s="267" t="s">
        <v>100</v>
      </c>
      <c r="B90" s="332">
        <v>1323346600</v>
      </c>
      <c r="C90" s="245" t="s">
        <v>599</v>
      </c>
      <c r="D90" s="269">
        <v>355</v>
      </c>
      <c r="E90" s="270">
        <v>3600</v>
      </c>
      <c r="F90" s="269"/>
      <c r="G90" s="270"/>
      <c r="H90" s="269"/>
      <c r="I90" s="270"/>
      <c r="J90" s="245" t="s">
        <v>33</v>
      </c>
      <c r="K90" s="267"/>
      <c r="L90" s="245"/>
      <c r="M90" s="246"/>
      <c r="N90" s="246"/>
    </row>
    <row r="91" spans="1:14" s="184" customFormat="1" x14ac:dyDescent="0.25">
      <c r="A91" s="267" t="s">
        <v>101</v>
      </c>
      <c r="B91" s="332">
        <v>1322699400</v>
      </c>
      <c r="C91" s="245" t="s">
        <v>599</v>
      </c>
      <c r="D91" s="269">
        <v>1208</v>
      </c>
      <c r="E91" s="270">
        <v>5280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352" customFormat="1" ht="26.25" x14ac:dyDescent="0.25">
      <c r="A92" s="346" t="s">
        <v>617</v>
      </c>
      <c r="B92" s="347" t="s">
        <v>200</v>
      </c>
      <c r="C92" s="348" t="s">
        <v>716</v>
      </c>
      <c r="D92" s="349">
        <v>326</v>
      </c>
      <c r="E92" s="350" t="s">
        <v>717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716</v>
      </c>
      <c r="D93" s="263">
        <v>130</v>
      </c>
      <c r="E93" s="264">
        <v>366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716</v>
      </c>
      <c r="D94" s="263">
        <v>53</v>
      </c>
      <c r="E94" s="264">
        <v>29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716</v>
      </c>
      <c r="D95" s="263">
        <v>102</v>
      </c>
      <c r="E95" s="264">
        <v>536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118</v>
      </c>
      <c r="B96" s="261" t="s">
        <v>221</v>
      </c>
      <c r="C96" s="266" t="s">
        <v>716</v>
      </c>
      <c r="D96" s="263">
        <v>102</v>
      </c>
      <c r="E96" s="264">
        <v>746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49" customFormat="1" x14ac:dyDescent="0.25">
      <c r="A97" s="260" t="s">
        <v>701</v>
      </c>
      <c r="B97" s="261">
        <v>1323115001</v>
      </c>
      <c r="C97" s="266" t="s">
        <v>716</v>
      </c>
      <c r="D97" s="263">
        <v>1007</v>
      </c>
      <c r="E97" s="264">
        <v>9720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x14ac:dyDescent="0.25">
      <c r="A98" s="260" t="s">
        <v>683</v>
      </c>
      <c r="B98" s="261">
        <v>1322673502</v>
      </c>
      <c r="C98" s="266" t="s">
        <v>716</v>
      </c>
      <c r="D98" s="263">
        <v>553</v>
      </c>
      <c r="E98" s="264">
        <v>5216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x14ac:dyDescent="0.25">
      <c r="A99" s="260" t="s">
        <v>702</v>
      </c>
      <c r="B99" s="261">
        <v>1322725900</v>
      </c>
      <c r="C99" s="266" t="s">
        <v>716</v>
      </c>
      <c r="D99" s="263">
        <v>503</v>
      </c>
      <c r="E99" s="264">
        <v>2640</v>
      </c>
      <c r="F99" s="263"/>
      <c r="G99" s="264"/>
      <c r="H99" s="263"/>
      <c r="I99" s="264"/>
      <c r="J99" s="262"/>
      <c r="K99" s="260"/>
      <c r="L99" s="262"/>
      <c r="M99" s="265"/>
      <c r="N99" s="265"/>
    </row>
    <row r="100" spans="1:14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2"/>
      <c r="L100" s="249"/>
      <c r="M100" s="253"/>
      <c r="N100" s="253"/>
    </row>
    <row r="101" spans="1:14" s="149" customFormat="1" x14ac:dyDescent="0.25">
      <c r="A101" s="260" t="s">
        <v>65</v>
      </c>
      <c r="B101" s="261" t="s">
        <v>163</v>
      </c>
      <c r="C101" s="262" t="s">
        <v>716</v>
      </c>
      <c r="D101" s="263"/>
      <c r="E101" s="264"/>
      <c r="F101" s="263"/>
      <c r="G101" s="264"/>
      <c r="H101" s="263">
        <v>157.51</v>
      </c>
      <c r="I101" s="264">
        <v>225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37</v>
      </c>
      <c r="B102" s="261" t="s">
        <v>190</v>
      </c>
      <c r="C102" s="262" t="s">
        <v>716</v>
      </c>
      <c r="D102" s="263"/>
      <c r="E102" s="264"/>
      <c r="F102" s="263"/>
      <c r="G102" s="264"/>
      <c r="H102" s="263">
        <v>152.31</v>
      </c>
      <c r="I102" s="264">
        <v>217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71</v>
      </c>
      <c r="B103" s="261" t="s">
        <v>188</v>
      </c>
      <c r="C103" s="262" t="s">
        <v>716</v>
      </c>
      <c r="D103" s="263"/>
      <c r="E103" s="264"/>
      <c r="F103" s="263"/>
      <c r="G103" s="264"/>
      <c r="H103" s="263">
        <v>33.659999999999997</v>
      </c>
      <c r="I103" s="264">
        <v>4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72</v>
      </c>
      <c r="B104" s="261" t="s">
        <v>187</v>
      </c>
      <c r="C104" s="262" t="s">
        <v>716</v>
      </c>
      <c r="D104" s="263"/>
      <c r="E104" s="264"/>
      <c r="F104" s="263"/>
      <c r="G104" s="264"/>
      <c r="H104" s="263">
        <v>33.659999999999997</v>
      </c>
      <c r="I104" s="264">
        <v>0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73</v>
      </c>
      <c r="B105" s="261" t="s">
        <v>171</v>
      </c>
      <c r="C105" s="262" t="s">
        <v>716</v>
      </c>
      <c r="D105" s="263"/>
      <c r="E105" s="264"/>
      <c r="F105" s="263"/>
      <c r="G105" s="264"/>
      <c r="H105" s="263">
        <v>82.87</v>
      </c>
      <c r="I105" s="264">
        <v>110</v>
      </c>
      <c r="J105" s="262"/>
      <c r="K105" s="260"/>
      <c r="L105" s="262"/>
      <c r="M105" s="265"/>
      <c r="N105" s="265"/>
    </row>
    <row r="106" spans="1:14" s="149" customFormat="1" x14ac:dyDescent="0.25">
      <c r="A106" s="260" t="s">
        <v>74</v>
      </c>
      <c r="B106" s="261" t="s">
        <v>170</v>
      </c>
      <c r="C106" s="262" t="s">
        <v>716</v>
      </c>
      <c r="D106" s="263"/>
      <c r="E106" s="264"/>
      <c r="F106" s="263"/>
      <c r="G106" s="264"/>
      <c r="H106" s="263">
        <v>33.659999999999997</v>
      </c>
      <c r="I106" s="264">
        <v>4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75</v>
      </c>
      <c r="B107" s="261" t="s">
        <v>189</v>
      </c>
      <c r="C107" s="262" t="s">
        <v>716</v>
      </c>
      <c r="D107" s="263"/>
      <c r="E107" s="264"/>
      <c r="F107" s="263"/>
      <c r="G107" s="264"/>
      <c r="H107" s="263">
        <v>35.26</v>
      </c>
      <c r="I107" s="264">
        <v>23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76</v>
      </c>
      <c r="B108" s="261" t="s">
        <v>169</v>
      </c>
      <c r="C108" s="262" t="s">
        <v>716</v>
      </c>
      <c r="D108" s="263"/>
      <c r="E108" s="264"/>
      <c r="F108" s="263"/>
      <c r="G108" s="264"/>
      <c r="H108" s="263">
        <v>33.659999999999997</v>
      </c>
      <c r="I108" s="264">
        <v>0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77</v>
      </c>
      <c r="B109" s="261" t="s">
        <v>168</v>
      </c>
      <c r="C109" s="262" t="s">
        <v>716</v>
      </c>
      <c r="D109" s="263"/>
      <c r="E109" s="264"/>
      <c r="F109" s="263"/>
      <c r="G109" s="264"/>
      <c r="H109" s="263">
        <v>33.659999999999997</v>
      </c>
      <c r="I109" s="264">
        <v>7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78</v>
      </c>
      <c r="B110" s="261" t="s">
        <v>197</v>
      </c>
      <c r="C110" s="262" t="s">
        <v>716</v>
      </c>
      <c r="D110" s="263"/>
      <c r="E110" s="264"/>
      <c r="F110" s="263"/>
      <c r="G110" s="264"/>
      <c r="H110" s="263">
        <v>33.659999999999997</v>
      </c>
      <c r="I110" s="264">
        <v>4</v>
      </c>
      <c r="J110" s="262"/>
      <c r="K110" s="260"/>
      <c r="L110" s="262"/>
      <c r="M110" s="265"/>
      <c r="N110" s="265"/>
    </row>
    <row r="111" spans="1:14" s="149" customFormat="1" ht="26.25" x14ac:dyDescent="0.25">
      <c r="A111" s="260" t="s">
        <v>79</v>
      </c>
      <c r="B111" s="261" t="s">
        <v>167</v>
      </c>
      <c r="C111" s="266" t="s">
        <v>716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0"/>
      <c r="L111" s="262"/>
      <c r="M111" s="265"/>
      <c r="N111" s="265"/>
    </row>
    <row r="112" spans="1:14" s="149" customFormat="1" ht="26.25" x14ac:dyDescent="0.25">
      <c r="A112" s="283" t="s">
        <v>80</v>
      </c>
      <c r="B112" s="284" t="s">
        <v>177</v>
      </c>
      <c r="C112" s="285" t="s">
        <v>716</v>
      </c>
      <c r="D112" s="286"/>
      <c r="E112" s="287"/>
      <c r="F112" s="286"/>
      <c r="G112" s="287"/>
      <c r="H112" s="286">
        <v>33.659999999999997</v>
      </c>
      <c r="I112" s="287">
        <v>0</v>
      </c>
      <c r="J112" s="288"/>
      <c r="K112" s="283" t="s">
        <v>315</v>
      </c>
      <c r="L112" s="262"/>
      <c r="M112" s="265"/>
      <c r="N112" s="265"/>
    </row>
    <row r="113" spans="1:14" s="149" customFormat="1" x14ac:dyDescent="0.25">
      <c r="A113" s="260" t="s">
        <v>81</v>
      </c>
      <c r="B113" s="261" t="s">
        <v>180</v>
      </c>
      <c r="C113" s="262" t="s">
        <v>716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82</v>
      </c>
      <c r="B114" s="261" t="s">
        <v>179</v>
      </c>
      <c r="C114" s="262" t="s">
        <v>716</v>
      </c>
      <c r="D114" s="263"/>
      <c r="E114" s="264"/>
      <c r="F114" s="263"/>
      <c r="G114" s="264"/>
      <c r="H114" s="263">
        <v>43.81</v>
      </c>
      <c r="I114" s="264">
        <v>39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83</v>
      </c>
      <c r="B115" s="261" t="s">
        <v>178</v>
      </c>
      <c r="C115" s="262" t="s">
        <v>716</v>
      </c>
      <c r="D115" s="263"/>
      <c r="E115" s="264"/>
      <c r="F115" s="263"/>
      <c r="G115" s="264"/>
      <c r="H115" s="263">
        <v>33.659999999999997</v>
      </c>
      <c r="I115" s="264">
        <v>2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84</v>
      </c>
      <c r="B116" s="261" t="s">
        <v>175</v>
      </c>
      <c r="C116" s="262" t="s">
        <v>716</v>
      </c>
      <c r="D116" s="263"/>
      <c r="E116" s="264"/>
      <c r="F116" s="263"/>
      <c r="G116" s="264"/>
      <c r="H116" s="263">
        <v>33.659999999999997</v>
      </c>
      <c r="I116" s="264">
        <v>1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85</v>
      </c>
      <c r="B117" s="261" t="s">
        <v>184</v>
      </c>
      <c r="C117" s="262" t="s">
        <v>716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86</v>
      </c>
      <c r="B118" s="261" t="s">
        <v>185</v>
      </c>
      <c r="C118" s="262" t="s">
        <v>716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87</v>
      </c>
      <c r="B119" s="261" t="s">
        <v>181</v>
      </c>
      <c r="C119" s="262" t="s">
        <v>716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88</v>
      </c>
      <c r="B120" s="261" t="s">
        <v>172</v>
      </c>
      <c r="C120" s="262" t="s">
        <v>716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89</v>
      </c>
      <c r="B121" s="261" t="s">
        <v>173</v>
      </c>
      <c r="C121" s="262" t="s">
        <v>716</v>
      </c>
      <c r="D121" s="263"/>
      <c r="E121" s="264"/>
      <c r="F121" s="263"/>
      <c r="G121" s="264"/>
      <c r="H121" s="263">
        <v>33.659999999999997</v>
      </c>
      <c r="I121" s="264">
        <v>7</v>
      </c>
      <c r="J121" s="262"/>
      <c r="K121" s="260"/>
      <c r="L121" s="262"/>
      <c r="M121" s="265"/>
      <c r="N121" s="265"/>
    </row>
    <row r="122" spans="1:14" s="149" customFormat="1" ht="26.25" x14ac:dyDescent="0.25">
      <c r="A122" s="260" t="s">
        <v>90</v>
      </c>
      <c r="B122" s="261" t="s">
        <v>174</v>
      </c>
      <c r="C122" s="262" t="s">
        <v>716</v>
      </c>
      <c r="D122" s="263"/>
      <c r="E122" s="264"/>
      <c r="F122" s="263"/>
      <c r="G122" s="264"/>
      <c r="H122" s="263">
        <v>33.659999999999997</v>
      </c>
      <c r="I122" s="264">
        <v>1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91</v>
      </c>
      <c r="B123" s="261" t="s">
        <v>182</v>
      </c>
      <c r="C123" s="262" t="s">
        <v>716</v>
      </c>
      <c r="D123" s="263"/>
      <c r="E123" s="264"/>
      <c r="F123" s="263"/>
      <c r="G123" s="264"/>
      <c r="H123" s="263">
        <v>33.659999999999997</v>
      </c>
      <c r="I123" s="264">
        <v>7</v>
      </c>
      <c r="J123" s="262"/>
      <c r="K123" s="260"/>
      <c r="L123" s="262"/>
      <c r="M123" s="265"/>
      <c r="N123" s="265"/>
    </row>
    <row r="124" spans="1:14" s="184" customFormat="1" ht="26.25" x14ac:dyDescent="0.25">
      <c r="A124" s="267" t="s">
        <v>92</v>
      </c>
      <c r="B124" s="268" t="s">
        <v>186</v>
      </c>
      <c r="C124" s="245" t="s">
        <v>716</v>
      </c>
      <c r="D124" s="269"/>
      <c r="E124" s="270"/>
      <c r="F124" s="269"/>
      <c r="G124" s="270"/>
      <c r="H124" s="269">
        <v>33.659999999999997</v>
      </c>
      <c r="I124" s="270">
        <v>0</v>
      </c>
      <c r="J124" s="245"/>
      <c r="K124" s="267"/>
      <c r="L124" s="245"/>
      <c r="M124" s="246"/>
      <c r="N124" s="246"/>
    </row>
    <row r="125" spans="1:14" s="149" customFormat="1" ht="26.25" x14ac:dyDescent="0.25">
      <c r="A125" s="260" t="s">
        <v>93</v>
      </c>
      <c r="B125" s="261" t="s">
        <v>183</v>
      </c>
      <c r="C125" s="262" t="s">
        <v>598</v>
      </c>
      <c r="D125" s="263"/>
      <c r="E125" s="264"/>
      <c r="F125" s="263"/>
      <c r="G125" s="264"/>
      <c r="H125" s="263">
        <v>31.16</v>
      </c>
      <c r="I125" s="264">
        <v>0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103</v>
      </c>
      <c r="B126" s="261" t="s">
        <v>194</v>
      </c>
      <c r="C126" s="262" t="s">
        <v>716</v>
      </c>
      <c r="D126" s="263"/>
      <c r="E126" s="264"/>
      <c r="F126" s="263"/>
      <c r="G126" s="264"/>
      <c r="H126" s="263">
        <v>33.659999999999997</v>
      </c>
      <c r="I126" s="264">
        <v>4</v>
      </c>
      <c r="J126" s="262"/>
      <c r="K126" s="260"/>
      <c r="L126" s="262"/>
      <c r="M126" s="265"/>
      <c r="N126" s="265"/>
    </row>
    <row r="127" spans="1:14" s="184" customFormat="1" ht="26.25" x14ac:dyDescent="0.25">
      <c r="A127" s="267" t="s">
        <v>104</v>
      </c>
      <c r="B127" s="268" t="s">
        <v>195</v>
      </c>
      <c r="C127" s="245" t="s">
        <v>577</v>
      </c>
      <c r="D127" s="269"/>
      <c r="E127" s="270"/>
      <c r="F127" s="269"/>
      <c r="G127" s="270"/>
      <c r="H127" s="269">
        <v>31.16</v>
      </c>
      <c r="I127" s="270">
        <v>0</v>
      </c>
      <c r="J127" s="245"/>
      <c r="K127" s="267"/>
      <c r="L127" s="245"/>
      <c r="M127" s="246"/>
      <c r="N127" s="246"/>
    </row>
    <row r="128" spans="1:14" s="149" customFormat="1" x14ac:dyDescent="0.25">
      <c r="A128" s="260" t="s">
        <v>105</v>
      </c>
      <c r="B128" s="261" t="s">
        <v>196</v>
      </c>
      <c r="C128" s="262" t="s">
        <v>716</v>
      </c>
      <c r="D128" s="263"/>
      <c r="E128" s="264"/>
      <c r="F128" s="263"/>
      <c r="G128" s="264"/>
      <c r="H128" s="263">
        <v>50.49</v>
      </c>
      <c r="I128" s="264">
        <v>1</v>
      </c>
      <c r="J128" s="262"/>
      <c r="K128" s="260"/>
      <c r="L128" s="262"/>
      <c r="M128" s="265"/>
      <c r="N128" s="265"/>
    </row>
    <row r="129" spans="1:14" s="184" customFormat="1" x14ac:dyDescent="0.25">
      <c r="A129" s="267" t="s">
        <v>68</v>
      </c>
      <c r="B129" s="268" t="s">
        <v>166</v>
      </c>
      <c r="C129" s="245" t="s">
        <v>579</v>
      </c>
      <c r="D129" s="269"/>
      <c r="E129" s="270"/>
      <c r="F129" s="269"/>
      <c r="G129" s="270"/>
      <c r="H129" s="269">
        <v>47.18</v>
      </c>
      <c r="I129" s="270">
        <v>50</v>
      </c>
      <c r="J129" s="245"/>
      <c r="K129" s="267"/>
      <c r="L129" s="245"/>
      <c r="M129" s="246"/>
      <c r="N129" s="246"/>
    </row>
    <row r="130" spans="1:14" s="184" customFormat="1" ht="26.25" x14ac:dyDescent="0.25">
      <c r="A130" s="267" t="s">
        <v>46</v>
      </c>
      <c r="B130" s="268" t="s">
        <v>193</v>
      </c>
      <c r="C130" s="245" t="s">
        <v>598</v>
      </c>
      <c r="D130" s="269"/>
      <c r="E130" s="270"/>
      <c r="F130" s="269"/>
      <c r="G130" s="270"/>
      <c r="H130" s="269">
        <v>31.16</v>
      </c>
      <c r="I130" s="270">
        <v>15</v>
      </c>
      <c r="J130" s="245"/>
      <c r="K130" s="267"/>
      <c r="L130" s="245"/>
      <c r="M130" s="246"/>
      <c r="N130" s="246"/>
    </row>
    <row r="131" spans="1:14" s="149" customFormat="1" ht="26.25" x14ac:dyDescent="0.25">
      <c r="A131" s="260" t="s">
        <v>17</v>
      </c>
      <c r="B131" s="261" t="s">
        <v>192</v>
      </c>
      <c r="C131" s="262" t="s">
        <v>716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0"/>
      <c r="L131" s="262"/>
      <c r="M131" s="265"/>
      <c r="N131" s="265"/>
    </row>
    <row r="132" spans="1:14" s="184" customFormat="1" ht="26.25" x14ac:dyDescent="0.25">
      <c r="A132" s="267" t="s">
        <v>47</v>
      </c>
      <c r="B132" s="268" t="s">
        <v>139</v>
      </c>
      <c r="C132" s="245" t="s">
        <v>606</v>
      </c>
      <c r="D132" s="269"/>
      <c r="E132" s="270"/>
      <c r="F132" s="269"/>
      <c r="G132" s="270"/>
      <c r="H132" s="269">
        <v>38.64</v>
      </c>
      <c r="I132" s="270">
        <v>34</v>
      </c>
      <c r="J132" s="245"/>
      <c r="K132" s="267"/>
      <c r="L132" s="245"/>
      <c r="M132" s="246"/>
      <c r="N132" s="246"/>
    </row>
    <row r="133" spans="1:14" s="184" customFormat="1" x14ac:dyDescent="0.25">
      <c r="A133" s="267" t="s">
        <v>64</v>
      </c>
      <c r="B133" s="268" t="s">
        <v>191</v>
      </c>
      <c r="C133" s="245" t="s">
        <v>577</v>
      </c>
      <c r="D133" s="269"/>
      <c r="E133" s="270"/>
      <c r="F133" s="269"/>
      <c r="G133" s="270"/>
      <c r="H133" s="269">
        <v>92.05</v>
      </c>
      <c r="I133" s="270">
        <v>128</v>
      </c>
      <c r="J133" s="245"/>
      <c r="K133" s="267"/>
      <c r="L133" s="245"/>
      <c r="M133" s="246"/>
      <c r="N133" s="246"/>
    </row>
    <row r="134" spans="1:14" s="184" customFormat="1" ht="26.25" x14ac:dyDescent="0.25">
      <c r="A134" s="267" t="s">
        <v>130</v>
      </c>
      <c r="B134" s="268" t="s">
        <v>131</v>
      </c>
      <c r="C134" s="245" t="s">
        <v>606</v>
      </c>
      <c r="D134" s="269"/>
      <c r="E134" s="270"/>
      <c r="F134" s="269"/>
      <c r="G134" s="270"/>
      <c r="H134" s="269">
        <v>350.72</v>
      </c>
      <c r="I134" s="270">
        <v>496</v>
      </c>
      <c r="J134" s="245"/>
      <c r="K134" s="267"/>
      <c r="L134" s="245"/>
      <c r="M134" s="246"/>
      <c r="N134" s="246"/>
    </row>
    <row r="135" spans="1:14" s="184" customFormat="1" ht="26.25" x14ac:dyDescent="0.25">
      <c r="A135" s="267" t="s">
        <v>134</v>
      </c>
      <c r="B135" s="268" t="s">
        <v>133</v>
      </c>
      <c r="C135" s="245" t="s">
        <v>606</v>
      </c>
      <c r="D135" s="269"/>
      <c r="E135" s="270"/>
      <c r="F135" s="269"/>
      <c r="G135" s="270"/>
      <c r="H135" s="269">
        <v>63.2</v>
      </c>
      <c r="I135" s="270">
        <v>80</v>
      </c>
      <c r="J135" s="245"/>
      <c r="K135" s="267"/>
      <c r="L135" s="245"/>
      <c r="M135" s="246"/>
      <c r="N135" s="246"/>
    </row>
    <row r="136" spans="1:14" s="149" customFormat="1" ht="26.25" x14ac:dyDescent="0.25">
      <c r="A136" s="260" t="s">
        <v>543</v>
      </c>
      <c r="B136" s="261" t="s">
        <v>135</v>
      </c>
      <c r="C136" s="262" t="s">
        <v>724</v>
      </c>
      <c r="D136" s="263"/>
      <c r="E136" s="264"/>
      <c r="F136" s="263"/>
      <c r="G136" s="264"/>
      <c r="H136" s="263">
        <v>2048.46</v>
      </c>
      <c r="I136" s="264">
        <v>2712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137</v>
      </c>
      <c r="B137" s="261" t="s">
        <v>138</v>
      </c>
      <c r="C137" s="262" t="s">
        <v>724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140</v>
      </c>
      <c r="B138" s="261" t="s">
        <v>141</v>
      </c>
      <c r="C138" s="266" t="s">
        <v>724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142</v>
      </c>
      <c r="B139" s="261" t="s">
        <v>143</v>
      </c>
      <c r="C139" s="262" t="s">
        <v>724</v>
      </c>
      <c r="D139" s="263"/>
      <c r="E139" s="264"/>
      <c r="F139" s="263"/>
      <c r="G139" s="264"/>
      <c r="H139" s="263">
        <v>33.659999999999997</v>
      </c>
      <c r="I139" s="264">
        <v>8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587</v>
      </c>
      <c r="B140" s="261" t="s">
        <v>145</v>
      </c>
      <c r="C140" s="262" t="s">
        <v>724</v>
      </c>
      <c r="D140" s="263"/>
      <c r="E140" s="264"/>
      <c r="F140" s="263"/>
      <c r="G140" s="264"/>
      <c r="H140" s="263">
        <v>182.21</v>
      </c>
      <c r="I140" s="264">
        <v>262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588</v>
      </c>
      <c r="B141" s="261" t="s">
        <v>147</v>
      </c>
      <c r="C141" s="262" t="s">
        <v>724</v>
      </c>
      <c r="D141" s="263"/>
      <c r="E141" s="264"/>
      <c r="F141" s="263"/>
      <c r="G141" s="264"/>
      <c r="H141" s="263">
        <v>112.08</v>
      </c>
      <c r="I141" s="264">
        <v>155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176</v>
      </c>
      <c r="B142" s="261" t="s">
        <v>165</v>
      </c>
      <c r="C142" s="262" t="s">
        <v>724</v>
      </c>
      <c r="D142" s="263"/>
      <c r="E142" s="264"/>
      <c r="F142" s="263"/>
      <c r="G142" s="264"/>
      <c r="H142" s="263">
        <v>175.85</v>
      </c>
      <c r="I142" s="264">
        <v>253</v>
      </c>
      <c r="J142" s="262"/>
      <c r="K142" s="260"/>
      <c r="L142" s="262"/>
      <c r="M142" s="265"/>
      <c r="N142" s="265"/>
    </row>
    <row r="143" spans="1:14" s="199" customFormat="1" ht="26.25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2"/>
      <c r="L143" s="249"/>
      <c r="M143" s="253"/>
      <c r="N143" s="253"/>
    </row>
    <row r="144" spans="1:14" s="149" customFormat="1" ht="26.25" x14ac:dyDescent="0.25">
      <c r="A144" s="260" t="s">
        <v>107</v>
      </c>
      <c r="B144" s="261">
        <v>67</v>
      </c>
      <c r="C144" s="262" t="s">
        <v>716</v>
      </c>
      <c r="D144" s="263"/>
      <c r="E144" s="264"/>
      <c r="F144" s="263"/>
      <c r="G144" s="264"/>
      <c r="H144" s="263">
        <v>57.5</v>
      </c>
      <c r="I144" s="264">
        <v>700</v>
      </c>
      <c r="J144" s="262"/>
      <c r="K144" s="260"/>
      <c r="L144" s="262"/>
      <c r="M144" s="265"/>
      <c r="N144" s="265"/>
    </row>
    <row r="145" spans="1:14" s="148" customFormat="1" x14ac:dyDescent="0.25">
      <c r="A145" s="254" t="s">
        <v>109</v>
      </c>
      <c r="B145" s="255">
        <v>95</v>
      </c>
      <c r="C145" s="256" t="s">
        <v>716</v>
      </c>
      <c r="D145" s="257"/>
      <c r="E145" s="258"/>
      <c r="F145" s="257"/>
      <c r="G145" s="258"/>
      <c r="H145" s="257">
        <v>50</v>
      </c>
      <c r="I145" s="258">
        <v>100</v>
      </c>
      <c r="J145" s="256"/>
      <c r="K145" s="254"/>
      <c r="L145" s="256"/>
      <c r="M145" s="259"/>
      <c r="N145" s="259"/>
    </row>
    <row r="146" spans="1:14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156</v>
      </c>
      <c r="B147" s="291">
        <v>61</v>
      </c>
      <c r="C147" s="266">
        <v>42713</v>
      </c>
      <c r="D147" s="263"/>
      <c r="E147" s="264"/>
      <c r="F147" s="263"/>
      <c r="G147" s="264"/>
      <c r="H147" s="263">
        <v>30.15</v>
      </c>
      <c r="I147" s="264">
        <v>30</v>
      </c>
      <c r="J147" s="262"/>
      <c r="K147" s="260"/>
      <c r="L147" s="262"/>
      <c r="M147" s="265"/>
      <c r="N147" s="265"/>
    </row>
    <row r="148" spans="1:14" s="199" customFormat="1" ht="26.25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2"/>
      <c r="L148" s="249"/>
      <c r="M148" s="253"/>
      <c r="N148" s="253"/>
    </row>
    <row r="149" spans="1:14" s="149" customFormat="1" ht="39" x14ac:dyDescent="0.25">
      <c r="A149" s="260" t="s">
        <v>40</v>
      </c>
      <c r="B149" s="261">
        <v>95</v>
      </c>
      <c r="C149" s="266" t="s">
        <v>719</v>
      </c>
      <c r="D149" s="263"/>
      <c r="E149" s="264"/>
      <c r="F149" s="263"/>
      <c r="G149" s="264"/>
      <c r="H149" s="263">
        <v>16</v>
      </c>
      <c r="I149" s="264">
        <v>800</v>
      </c>
      <c r="J149" s="262"/>
      <c r="K149" s="260"/>
      <c r="L149" s="262"/>
      <c r="M149" s="265"/>
      <c r="N149" s="265"/>
    </row>
    <row r="150" spans="1:14" s="199" customFormat="1" ht="39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84" customFormat="1" ht="26.25" x14ac:dyDescent="0.25">
      <c r="A151" s="267" t="s">
        <v>355</v>
      </c>
      <c r="B151" s="268" t="s">
        <v>356</v>
      </c>
      <c r="C151" s="289" t="s">
        <v>581</v>
      </c>
      <c r="D151" s="269"/>
      <c r="E151" s="270"/>
      <c r="F151" s="269"/>
      <c r="G151" s="270"/>
      <c r="H151" s="269">
        <v>127.54</v>
      </c>
      <c r="I151" s="270">
        <v>241080</v>
      </c>
      <c r="J151" s="245"/>
      <c r="K151" s="267"/>
      <c r="L151" s="245"/>
      <c r="M151" s="246"/>
      <c r="N151" s="246"/>
    </row>
    <row r="152" spans="1:14" s="184" customFormat="1" x14ac:dyDescent="0.25">
      <c r="A152" s="245"/>
      <c r="B152" s="245"/>
      <c r="C152" s="245"/>
      <c r="D152" s="292">
        <f t="shared" ref="D152:I152" si="0">SUM(D2:D149)</f>
        <v>23324.020000000004</v>
      </c>
      <c r="E152" s="270">
        <f t="shared" si="0"/>
        <v>230275.20000000001</v>
      </c>
      <c r="F152" s="292">
        <f t="shared" si="0"/>
        <v>3378.95</v>
      </c>
      <c r="G152" s="270">
        <f t="shared" si="0"/>
        <v>3558</v>
      </c>
      <c r="H152" s="292">
        <f t="shared" si="0"/>
        <v>4687.6099999999997</v>
      </c>
      <c r="I152" s="270">
        <f t="shared" si="0"/>
        <v>6479</v>
      </c>
      <c r="J152" s="292"/>
      <c r="K152" s="245"/>
      <c r="L152" s="245"/>
      <c r="M152" s="246"/>
      <c r="N152" s="246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</sheetData>
  <pageMargins left="0.7" right="0.7" top="0.75" bottom="0.75" header="0.3" footer="0.3"/>
  <pageSetup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722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487"/>
      <c r="B4" s="488"/>
      <c r="C4" s="488"/>
      <c r="D4" s="488"/>
      <c r="E4" s="488"/>
      <c r="F4" s="488"/>
      <c r="G4" s="48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242442.14</v>
      </c>
      <c r="D13" s="34"/>
      <c r="E13" s="35" t="s">
        <v>33</v>
      </c>
      <c r="F13" s="34"/>
      <c r="G13" s="42">
        <v>18889.080000000002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6206</v>
      </c>
      <c r="D15" s="34"/>
      <c r="E15" s="35" t="s">
        <v>10</v>
      </c>
      <c r="F15" s="34"/>
      <c r="G15" s="42">
        <v>2540.83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8044.39</v>
      </c>
      <c r="D17" s="34"/>
      <c r="E17" s="35" t="s">
        <v>278</v>
      </c>
      <c r="F17" s="34"/>
      <c r="G17" s="42">
        <v>6673.73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8" sqref="J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2136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48"/>
      <c r="B4" s="1049"/>
      <c r="C4" s="1049"/>
      <c r="D4" s="1049"/>
      <c r="E4" s="1049"/>
      <c r="F4" s="1049"/>
      <c r="G4" s="105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198130</v>
      </c>
      <c r="D13" s="34"/>
      <c r="E13" s="35" t="s">
        <v>33</v>
      </c>
      <c r="F13" s="34"/>
      <c r="G13" s="42">
        <v>22156.27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8946</v>
      </c>
      <c r="D15" s="34"/>
      <c r="E15" s="35" t="s">
        <v>10</v>
      </c>
      <c r="F15" s="34"/>
      <c r="G15" s="42">
        <v>8584.4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82631</v>
      </c>
      <c r="D17" s="34"/>
      <c r="E17" s="35" t="s">
        <v>278</v>
      </c>
      <c r="F17" s="34"/>
      <c r="G17" s="42">
        <v>5254.35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153"/>
  <sheetViews>
    <sheetView zoomScale="110" zoomScaleNormal="110" workbookViewId="0">
      <pane ySplit="2" topLeftCell="A54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691</v>
      </c>
      <c r="D3" s="257"/>
      <c r="E3" s="258"/>
      <c r="F3" s="257">
        <v>1640.98</v>
      </c>
      <c r="G3" s="258">
        <v>2249</v>
      </c>
      <c r="H3" s="257"/>
      <c r="I3" s="258"/>
      <c r="J3" s="256" t="s">
        <v>10</v>
      </c>
      <c r="K3" s="254"/>
      <c r="L3" s="256"/>
      <c r="M3" s="259"/>
      <c r="N3" s="259"/>
    </row>
    <row r="4" spans="1:14" s="184" customFormat="1" ht="26.25" x14ac:dyDescent="0.25">
      <c r="A4" s="267" t="s">
        <v>13</v>
      </c>
      <c r="B4" s="268">
        <v>3026210376</v>
      </c>
      <c r="C4" s="245" t="s">
        <v>635</v>
      </c>
      <c r="D4" s="269"/>
      <c r="E4" s="270"/>
      <c r="F4" s="269">
        <v>59.38</v>
      </c>
      <c r="G4" s="270">
        <v>24</v>
      </c>
      <c r="H4" s="269"/>
      <c r="I4" s="270"/>
      <c r="J4" s="245" t="s">
        <v>10</v>
      </c>
      <c r="K4" s="267"/>
      <c r="L4" s="245"/>
      <c r="M4" s="246"/>
      <c r="N4" s="246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690</v>
      </c>
      <c r="D6" s="257"/>
      <c r="E6" s="258"/>
      <c r="F6" s="257">
        <v>60.05</v>
      </c>
      <c r="G6" s="258">
        <v>22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693</v>
      </c>
      <c r="D7" s="263"/>
      <c r="E7" s="264"/>
      <c r="F7" s="263">
        <v>67.150000000000006</v>
      </c>
      <c r="G7" s="264">
        <v>32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691</v>
      </c>
      <c r="D8" s="263"/>
      <c r="E8" s="264"/>
      <c r="F8" s="263">
        <v>53.65</v>
      </c>
      <c r="G8" s="264">
        <v>3642</v>
      </c>
      <c r="H8" s="263"/>
      <c r="I8" s="264"/>
      <c r="J8" s="262" t="s">
        <v>10</v>
      </c>
      <c r="K8" s="260"/>
      <c r="L8" s="262"/>
      <c r="M8" s="265"/>
      <c r="N8" s="265"/>
    </row>
    <row r="9" spans="1:14" s="184" customFormat="1" ht="39" x14ac:dyDescent="0.25">
      <c r="A9" s="267" t="s">
        <v>42</v>
      </c>
      <c r="B9" s="268">
        <v>3029257704</v>
      </c>
      <c r="C9" s="245" t="s">
        <v>609</v>
      </c>
      <c r="D9" s="269"/>
      <c r="E9" s="270"/>
      <c r="F9" s="269">
        <v>55.6</v>
      </c>
      <c r="G9" s="270">
        <v>6</v>
      </c>
      <c r="H9" s="269"/>
      <c r="I9" s="270"/>
      <c r="J9" s="245" t="s">
        <v>10</v>
      </c>
      <c r="K9" s="267"/>
      <c r="L9" s="245"/>
      <c r="M9" s="246"/>
      <c r="N9" s="246"/>
    </row>
    <row r="10" spans="1:14" s="149" customFormat="1" ht="26.25" x14ac:dyDescent="0.25">
      <c r="A10" s="260" t="s">
        <v>44</v>
      </c>
      <c r="B10" s="261">
        <v>3039640691</v>
      </c>
      <c r="C10" s="262" t="s">
        <v>694</v>
      </c>
      <c r="D10" s="263"/>
      <c r="E10" s="264"/>
      <c r="F10" s="263">
        <v>45.12</v>
      </c>
      <c r="G10" s="264">
        <v>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84" customFormat="1" x14ac:dyDescent="0.25">
      <c r="A11" s="267" t="s">
        <v>43</v>
      </c>
      <c r="B11" s="268">
        <v>3039782225</v>
      </c>
      <c r="C11" s="245" t="s">
        <v>635</v>
      </c>
      <c r="D11" s="269"/>
      <c r="E11" s="270"/>
      <c r="F11" s="269">
        <v>66.849999999999994</v>
      </c>
      <c r="G11" s="270">
        <v>36</v>
      </c>
      <c r="H11" s="269"/>
      <c r="I11" s="270"/>
      <c r="J11" s="245" t="s">
        <v>10</v>
      </c>
      <c r="K11" s="267"/>
      <c r="L11" s="245"/>
      <c r="M11" s="246"/>
      <c r="N11" s="246"/>
    </row>
    <row r="12" spans="1:14" s="184" customFormat="1" ht="26.25" x14ac:dyDescent="0.25">
      <c r="A12" s="267" t="s">
        <v>610</v>
      </c>
      <c r="B12" s="268">
        <v>3039618715</v>
      </c>
      <c r="C12" s="363" t="s">
        <v>634</v>
      </c>
      <c r="D12" s="269"/>
      <c r="E12" s="270"/>
      <c r="F12" s="269">
        <v>53</v>
      </c>
      <c r="G12" s="270">
        <v>0</v>
      </c>
      <c r="H12" s="269"/>
      <c r="I12" s="270"/>
      <c r="J12" s="245" t="s">
        <v>10</v>
      </c>
      <c r="K12" s="267"/>
      <c r="L12" s="245"/>
      <c r="M12" s="246"/>
      <c r="N12" s="246"/>
    </row>
    <row r="13" spans="1:14" s="149" customFormat="1" ht="26.25" x14ac:dyDescent="0.25">
      <c r="A13" s="260" t="s">
        <v>46</v>
      </c>
      <c r="B13" s="261">
        <v>3023189549</v>
      </c>
      <c r="C13" s="262" t="s">
        <v>692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703</v>
      </c>
      <c r="D14" s="263"/>
      <c r="E14" s="264"/>
      <c r="F14" s="263">
        <v>57.13</v>
      </c>
      <c r="G14" s="264">
        <v>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693</v>
      </c>
      <c r="D15" s="263"/>
      <c r="E15" s="264"/>
      <c r="F15" s="263">
        <v>72.819999999999993</v>
      </c>
      <c r="G15" s="264">
        <v>40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694</v>
      </c>
      <c r="D16" s="263"/>
      <c r="E16" s="264"/>
      <c r="F16" s="263">
        <v>137.41999999999999</v>
      </c>
      <c r="G16" s="264">
        <v>131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703</v>
      </c>
      <c r="D17" s="263"/>
      <c r="E17" s="264"/>
      <c r="F17" s="263">
        <v>38.67</v>
      </c>
      <c r="G17" s="264">
        <v>20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703</v>
      </c>
      <c r="D18" s="263"/>
      <c r="E18" s="264"/>
      <c r="F18" s="263">
        <v>45.17</v>
      </c>
      <c r="G18" s="264">
        <v>1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8" customFormat="1" ht="41.25" customHeight="1" x14ac:dyDescent="0.25">
      <c r="A20" s="483" t="s">
        <v>709</v>
      </c>
      <c r="B20" s="484">
        <v>15145888</v>
      </c>
      <c r="C20" s="256" t="s">
        <v>710</v>
      </c>
      <c r="D20" s="257">
        <v>807.46</v>
      </c>
      <c r="E20" s="258">
        <v>701</v>
      </c>
      <c r="F20" s="257"/>
      <c r="G20" s="258"/>
      <c r="H20" s="257"/>
      <c r="I20" s="258"/>
      <c r="J20" s="256"/>
      <c r="K20" s="254" t="s">
        <v>712</v>
      </c>
      <c r="L20" s="256"/>
      <c r="M20" s="259" t="s">
        <v>447</v>
      </c>
      <c r="N20" s="259" t="s">
        <v>711</v>
      </c>
    </row>
    <row r="21" spans="1:14" s="149" customFormat="1" x14ac:dyDescent="0.25">
      <c r="A21" s="260" t="s">
        <v>113</v>
      </c>
      <c r="B21" s="261">
        <v>5089282</v>
      </c>
      <c r="C21" s="262" t="s">
        <v>703</v>
      </c>
      <c r="D21" s="263">
        <v>56.92</v>
      </c>
      <c r="E21" s="264">
        <v>300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703</v>
      </c>
      <c r="D22" s="263">
        <v>23.83</v>
      </c>
      <c r="E22" s="264">
        <v>111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703</v>
      </c>
      <c r="D23" s="263">
        <v>16.27</v>
      </c>
      <c r="E23" s="264">
        <v>20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703</v>
      </c>
      <c r="D24" s="263">
        <v>14.6</v>
      </c>
      <c r="E24" s="264">
        <v>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703</v>
      </c>
      <c r="D25" s="263">
        <v>103.34</v>
      </c>
      <c r="E25" s="264">
        <v>1026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703</v>
      </c>
      <c r="D26" s="263">
        <v>375.9</v>
      </c>
      <c r="E26" s="264">
        <v>3792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703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703</v>
      </c>
      <c r="D28" s="263">
        <v>113.08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703</v>
      </c>
      <c r="D29" s="263">
        <v>18.079999999999998</v>
      </c>
      <c r="E29" s="264">
        <v>42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703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708</v>
      </c>
      <c r="D31" s="263">
        <v>113.42</v>
      </c>
      <c r="E31" s="264">
        <v>434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708</v>
      </c>
      <c r="D32" s="263">
        <v>22.31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708</v>
      </c>
      <c r="D33" s="263">
        <v>217.17</v>
      </c>
      <c r="E33" s="264">
        <v>994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708</v>
      </c>
      <c r="D34" s="263">
        <v>165.78</v>
      </c>
      <c r="E34" s="264">
        <v>1860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705</v>
      </c>
      <c r="D35" s="263">
        <v>35.32</v>
      </c>
      <c r="E35" s="264">
        <v>258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705</v>
      </c>
      <c r="D36" s="263">
        <v>618.17999999999995</v>
      </c>
      <c r="E36" s="264">
        <v>6600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708</v>
      </c>
      <c r="D37" s="263">
        <v>47.14</v>
      </c>
      <c r="E37" s="264">
        <v>392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708</v>
      </c>
      <c r="D38" s="263">
        <v>22.75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705</v>
      </c>
      <c r="D40" s="263">
        <v>318.95</v>
      </c>
      <c r="E40" s="264">
        <v>2454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708</v>
      </c>
      <c r="D41" s="263">
        <v>22.75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708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708</v>
      </c>
      <c r="D43" s="263">
        <v>1178.73</v>
      </c>
      <c r="E43" s="264">
        <v>103500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708</v>
      </c>
      <c r="D44" s="263">
        <v>25.81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707</v>
      </c>
      <c r="D45" s="263">
        <v>301.11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708</v>
      </c>
      <c r="D46" s="263">
        <v>366.1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708</v>
      </c>
      <c r="D47" s="263">
        <v>901.36</v>
      </c>
      <c r="E47" s="264">
        <v>8040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2" t="s">
        <v>708</v>
      </c>
      <c r="D48" s="263">
        <v>531.99</v>
      </c>
      <c r="E48" s="264">
        <v>4360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708</v>
      </c>
      <c r="D49" s="263">
        <v>271.29000000000002</v>
      </c>
      <c r="E49" s="264">
        <v>2721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707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708</v>
      </c>
      <c r="D51" s="263">
        <v>669.19</v>
      </c>
      <c r="E51" s="264">
        <v>3840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708</v>
      </c>
      <c r="D52" s="263">
        <v>22.75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705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708</v>
      </c>
      <c r="D54" s="257">
        <v>1394.44</v>
      </c>
      <c r="E54" s="258">
        <v>14220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708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708</v>
      </c>
      <c r="D56" s="263">
        <v>1095.8</v>
      </c>
      <c r="E56" s="264">
        <v>14880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707</v>
      </c>
      <c r="D57" s="263">
        <v>135.75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8" customFormat="1" ht="26.25" x14ac:dyDescent="0.25">
      <c r="A58" s="254" t="s">
        <v>153</v>
      </c>
      <c r="B58" s="255">
        <v>8327232</v>
      </c>
      <c r="C58" s="256" t="s">
        <v>705</v>
      </c>
      <c r="D58" s="257">
        <v>38.74</v>
      </c>
      <c r="E58" s="258">
        <v>0</v>
      </c>
      <c r="F58" s="257"/>
      <c r="G58" s="258"/>
      <c r="H58" s="257"/>
      <c r="I58" s="258"/>
      <c r="J58" s="256" t="s">
        <v>33</v>
      </c>
      <c r="K58" s="254"/>
      <c r="L58" s="256"/>
      <c r="M58" s="259" t="s">
        <v>447</v>
      </c>
      <c r="N58" s="259" t="s">
        <v>472</v>
      </c>
    </row>
    <row r="59" spans="1:14" s="324" customFormat="1" ht="26.25" x14ac:dyDescent="0.25">
      <c r="A59" s="317" t="s">
        <v>255</v>
      </c>
      <c r="B59" s="318">
        <v>6973803</v>
      </c>
      <c r="C59" s="322" t="s">
        <v>561</v>
      </c>
      <c r="D59" s="320">
        <v>0</v>
      </c>
      <c r="E59" s="321">
        <v>0</v>
      </c>
      <c r="F59" s="320"/>
      <c r="G59" s="321"/>
      <c r="H59" s="320"/>
      <c r="I59" s="321"/>
      <c r="J59" s="322" t="s">
        <v>33</v>
      </c>
      <c r="K59" s="317"/>
      <c r="L59" s="322"/>
      <c r="M59" s="323" t="s">
        <v>447</v>
      </c>
      <c r="N59" s="323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2" t="s">
        <v>705</v>
      </c>
      <c r="D60" s="263">
        <v>624.9</v>
      </c>
      <c r="E60" s="264">
        <v>6756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24" customFormat="1" x14ac:dyDescent="0.25">
      <c r="A61" s="317" t="s">
        <v>253</v>
      </c>
      <c r="B61" s="318">
        <v>4934809</v>
      </c>
      <c r="C61" s="322" t="s">
        <v>561</v>
      </c>
      <c r="D61" s="320">
        <v>0</v>
      </c>
      <c r="E61" s="321">
        <v>0</v>
      </c>
      <c r="F61" s="320"/>
      <c r="G61" s="321"/>
      <c r="H61" s="320"/>
      <c r="I61" s="321"/>
      <c r="J61" s="322" t="s">
        <v>33</v>
      </c>
      <c r="K61" s="317"/>
      <c r="L61" s="322"/>
      <c r="M61" s="323" t="s">
        <v>447</v>
      </c>
      <c r="N61" s="323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705</v>
      </c>
      <c r="D62" s="263">
        <v>306.41000000000003</v>
      </c>
      <c r="E62" s="264">
        <v>1520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705</v>
      </c>
      <c r="D63" s="263">
        <v>27.42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705</v>
      </c>
      <c r="D64" s="263">
        <v>18.670000000000002</v>
      </c>
      <c r="E64" s="264">
        <v>49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703</v>
      </c>
      <c r="D65" s="263">
        <v>72.61</v>
      </c>
      <c r="E65" s="264">
        <v>692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6" t="s">
        <v>703</v>
      </c>
      <c r="D66" s="263">
        <v>48.12</v>
      </c>
      <c r="E66" s="264">
        <v>406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703</v>
      </c>
      <c r="D67" s="263">
        <v>29.38</v>
      </c>
      <c r="E67" s="264">
        <v>179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703</v>
      </c>
      <c r="D68" s="263">
        <v>22.73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703</v>
      </c>
      <c r="D69" s="263">
        <v>19.010000000000002</v>
      </c>
      <c r="E69" s="264">
        <v>53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703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695</v>
      </c>
      <c r="D72" s="263">
        <v>311</v>
      </c>
      <c r="E72" s="264">
        <v>2684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695</v>
      </c>
      <c r="D73" s="263">
        <v>191</v>
      </c>
      <c r="E73" s="264">
        <v>1347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695</v>
      </c>
      <c r="D74" s="263">
        <v>110</v>
      </c>
      <c r="E74" s="264">
        <v>566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695</v>
      </c>
      <c r="D75" s="263">
        <v>45</v>
      </c>
      <c r="E75" s="264">
        <v>142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695</v>
      </c>
      <c r="D76" s="263">
        <v>38</v>
      </c>
      <c r="E76" s="264">
        <v>74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695</v>
      </c>
      <c r="D77" s="263">
        <v>353</v>
      </c>
      <c r="E77" s="264">
        <v>2891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695</v>
      </c>
      <c r="D78" s="263">
        <v>122</v>
      </c>
      <c r="E78" s="264">
        <v>953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695</v>
      </c>
      <c r="D79" s="263">
        <v>55</v>
      </c>
      <c r="E79" s="264">
        <v>236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695</v>
      </c>
      <c r="D80" s="263">
        <v>29</v>
      </c>
      <c r="E80" s="264">
        <v>77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695</v>
      </c>
      <c r="D81" s="263">
        <v>31</v>
      </c>
      <c r="E81" s="264">
        <v>6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695</v>
      </c>
      <c r="D82" s="263">
        <v>47</v>
      </c>
      <c r="E82" s="264">
        <v>162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695</v>
      </c>
      <c r="D83" s="257">
        <v>118</v>
      </c>
      <c r="E83" s="258">
        <v>669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695</v>
      </c>
      <c r="D84" s="263">
        <v>1286</v>
      </c>
      <c r="E84" s="264">
        <v>11280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695</v>
      </c>
      <c r="D85" s="263">
        <v>49</v>
      </c>
      <c r="E85" s="264">
        <v>98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616</v>
      </c>
      <c r="D86" s="263">
        <v>58</v>
      </c>
      <c r="E86" s="264">
        <v>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695</v>
      </c>
      <c r="D87" s="263">
        <v>68</v>
      </c>
      <c r="E87" s="264">
        <v>278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84" customFormat="1" ht="26.25" x14ac:dyDescent="0.25">
      <c r="A88" s="267" t="s">
        <v>99</v>
      </c>
      <c r="B88" s="268" t="s">
        <v>206</v>
      </c>
      <c r="C88" s="245" t="s">
        <v>615</v>
      </c>
      <c r="D88" s="269">
        <v>56</v>
      </c>
      <c r="E88" s="270">
        <v>229</v>
      </c>
      <c r="F88" s="269"/>
      <c r="G88" s="270"/>
      <c r="H88" s="269"/>
      <c r="I88" s="270"/>
      <c r="J88" s="245" t="s">
        <v>33</v>
      </c>
      <c r="K88" s="267"/>
      <c r="L88" s="245"/>
      <c r="M88" s="246"/>
      <c r="N88" s="246"/>
    </row>
    <row r="89" spans="1:14" s="149" customFormat="1" ht="26.25" x14ac:dyDescent="0.25">
      <c r="A89" s="260" t="s">
        <v>100</v>
      </c>
      <c r="B89" s="282">
        <v>1323346600</v>
      </c>
      <c r="C89" s="262" t="s">
        <v>695</v>
      </c>
      <c r="D89" s="263">
        <v>246</v>
      </c>
      <c r="E89" s="264">
        <v>1500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695</v>
      </c>
      <c r="D90" s="263">
        <v>562</v>
      </c>
      <c r="E90" s="264">
        <v>1920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695</v>
      </c>
      <c r="D91" s="349">
        <v>296</v>
      </c>
      <c r="E91" s="350">
        <v>9.14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x14ac:dyDescent="0.25">
      <c r="A92" s="260" t="s">
        <v>700</v>
      </c>
      <c r="B92" s="261" t="s">
        <v>207</v>
      </c>
      <c r="C92" s="262" t="s">
        <v>695</v>
      </c>
      <c r="D92" s="263">
        <v>140</v>
      </c>
      <c r="E92" s="264">
        <v>416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x14ac:dyDescent="0.25">
      <c r="A93" s="260" t="s">
        <v>699</v>
      </c>
      <c r="B93" s="261" t="s">
        <v>222</v>
      </c>
      <c r="C93" s="262" t="s">
        <v>695</v>
      </c>
      <c r="D93" s="263">
        <v>102</v>
      </c>
      <c r="E93" s="264">
        <v>497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x14ac:dyDescent="0.25">
      <c r="A94" s="260" t="s">
        <v>697</v>
      </c>
      <c r="B94" s="261" t="s">
        <v>220</v>
      </c>
      <c r="C94" s="262" t="s">
        <v>695</v>
      </c>
      <c r="D94" s="263">
        <v>108</v>
      </c>
      <c r="E94" s="264">
        <v>543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x14ac:dyDescent="0.25">
      <c r="A95" s="260" t="s">
        <v>698</v>
      </c>
      <c r="B95" s="261" t="s">
        <v>221</v>
      </c>
      <c r="C95" s="266" t="s">
        <v>695</v>
      </c>
      <c r="D95" s="263">
        <v>102</v>
      </c>
      <c r="E95" s="264">
        <v>683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x14ac:dyDescent="0.25">
      <c r="A96" s="260" t="s">
        <v>701</v>
      </c>
      <c r="B96" s="261">
        <v>1323115001</v>
      </c>
      <c r="C96" s="266" t="s">
        <v>695</v>
      </c>
      <c r="D96" s="263">
        <v>1624</v>
      </c>
      <c r="E96" s="264">
        <v>18360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683</v>
      </c>
      <c r="B97" s="261">
        <v>1322673502</v>
      </c>
      <c r="C97" s="266" t="s">
        <v>695</v>
      </c>
      <c r="D97" s="263">
        <v>876</v>
      </c>
      <c r="E97" s="264">
        <v>7896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x14ac:dyDescent="0.25">
      <c r="A98" s="260" t="s">
        <v>702</v>
      </c>
      <c r="B98" s="261">
        <v>1322725900</v>
      </c>
      <c r="C98" s="266" t="s">
        <v>695</v>
      </c>
      <c r="D98" s="263">
        <v>541</v>
      </c>
      <c r="E98" s="264">
        <v>2880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99" customFormat="1" x14ac:dyDescent="0.25">
      <c r="A99" s="280" t="s">
        <v>434</v>
      </c>
      <c r="B99" s="281"/>
      <c r="C99" s="249">
        <v>0</v>
      </c>
      <c r="D99" s="250"/>
      <c r="E99" s="251"/>
      <c r="F99" s="250"/>
      <c r="G99" s="251"/>
      <c r="H99" s="250"/>
      <c r="I99" s="251"/>
      <c r="J99" s="249"/>
      <c r="K99" s="252"/>
      <c r="L99" s="249"/>
      <c r="M99" s="253"/>
      <c r="N99" s="253"/>
    </row>
    <row r="100" spans="1:14" s="149" customFormat="1" x14ac:dyDescent="0.25">
      <c r="A100" s="260" t="s">
        <v>65</v>
      </c>
      <c r="B100" s="261" t="s">
        <v>163</v>
      </c>
      <c r="C100" s="262" t="s">
        <v>695</v>
      </c>
      <c r="D100" s="263"/>
      <c r="E100" s="264"/>
      <c r="F100" s="263"/>
      <c r="G100" s="264"/>
      <c r="H100" s="263">
        <v>235.24</v>
      </c>
      <c r="I100" s="264">
        <v>337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37</v>
      </c>
      <c r="B101" s="261" t="s">
        <v>190</v>
      </c>
      <c r="C101" s="262" t="s">
        <v>695</v>
      </c>
      <c r="D101" s="263"/>
      <c r="E101" s="264"/>
      <c r="F101" s="263"/>
      <c r="G101" s="264"/>
      <c r="H101" s="263">
        <v>286.67</v>
      </c>
      <c r="I101" s="264">
        <v>409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71</v>
      </c>
      <c r="B102" s="261" t="s">
        <v>188</v>
      </c>
      <c r="C102" s="262" t="s">
        <v>695</v>
      </c>
      <c r="D102" s="263"/>
      <c r="E102" s="264"/>
      <c r="F102" s="263"/>
      <c r="G102" s="264"/>
      <c r="H102" s="263">
        <v>33.659999999999997</v>
      </c>
      <c r="I102" s="264">
        <v>13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72</v>
      </c>
      <c r="B103" s="261" t="s">
        <v>187</v>
      </c>
      <c r="C103" s="262" t="s">
        <v>695</v>
      </c>
      <c r="D103" s="263"/>
      <c r="E103" s="264"/>
      <c r="F103" s="263"/>
      <c r="G103" s="264"/>
      <c r="H103" s="263">
        <v>33.659999999999997</v>
      </c>
      <c r="I103" s="264">
        <v>0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73</v>
      </c>
      <c r="B104" s="261" t="s">
        <v>171</v>
      </c>
      <c r="C104" s="262" t="s">
        <v>695</v>
      </c>
      <c r="D104" s="263"/>
      <c r="E104" s="264"/>
      <c r="F104" s="263"/>
      <c r="G104" s="264"/>
      <c r="H104" s="263">
        <v>53.95</v>
      </c>
      <c r="I104" s="264">
        <v>58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74</v>
      </c>
      <c r="B105" s="261" t="s">
        <v>170</v>
      </c>
      <c r="C105" s="262" t="s">
        <v>695</v>
      </c>
      <c r="D105" s="263"/>
      <c r="E105" s="264"/>
      <c r="F105" s="263"/>
      <c r="G105" s="264"/>
      <c r="H105" s="263">
        <v>33.659999999999997</v>
      </c>
      <c r="I105" s="264">
        <v>5</v>
      </c>
      <c r="J105" s="262"/>
      <c r="K105" s="260"/>
      <c r="L105" s="262"/>
      <c r="M105" s="265"/>
      <c r="N105" s="265"/>
    </row>
    <row r="106" spans="1:14" s="184" customFormat="1" ht="26.25" x14ac:dyDescent="0.25">
      <c r="A106" s="267" t="s">
        <v>75</v>
      </c>
      <c r="B106" s="268" t="s">
        <v>189</v>
      </c>
      <c r="C106" s="245" t="s">
        <v>598</v>
      </c>
      <c r="D106" s="269"/>
      <c r="E106" s="270"/>
      <c r="F106" s="269"/>
      <c r="G106" s="270"/>
      <c r="H106" s="269">
        <v>36.5</v>
      </c>
      <c r="I106" s="270">
        <v>30</v>
      </c>
      <c r="J106" s="245"/>
      <c r="K106" s="267"/>
      <c r="L106" s="245"/>
      <c r="M106" s="246"/>
      <c r="N106" s="246"/>
    </row>
    <row r="107" spans="1:14" s="149" customFormat="1" ht="26.25" x14ac:dyDescent="0.25">
      <c r="A107" s="260" t="s">
        <v>76</v>
      </c>
      <c r="B107" s="261" t="s">
        <v>169</v>
      </c>
      <c r="C107" s="262" t="s">
        <v>695</v>
      </c>
      <c r="D107" s="263"/>
      <c r="E107" s="264"/>
      <c r="F107" s="263"/>
      <c r="G107" s="264"/>
      <c r="H107" s="263">
        <v>33.659999999999997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77</v>
      </c>
      <c r="B108" s="261" t="s">
        <v>168</v>
      </c>
      <c r="C108" s="262" t="s">
        <v>695</v>
      </c>
      <c r="D108" s="263"/>
      <c r="E108" s="264"/>
      <c r="F108" s="263"/>
      <c r="G108" s="264"/>
      <c r="H108" s="263">
        <v>459.56</v>
      </c>
      <c r="I108" s="264">
        <v>635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78</v>
      </c>
      <c r="B109" s="261" t="s">
        <v>197</v>
      </c>
      <c r="C109" s="262" t="s">
        <v>695</v>
      </c>
      <c r="D109" s="263"/>
      <c r="E109" s="264"/>
      <c r="F109" s="263"/>
      <c r="G109" s="264"/>
      <c r="H109" s="263">
        <v>33.659999999999997</v>
      </c>
      <c r="I109" s="264">
        <v>10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79</v>
      </c>
      <c r="B110" s="261" t="s">
        <v>167</v>
      </c>
      <c r="C110" s="266" t="s">
        <v>695</v>
      </c>
      <c r="D110" s="263"/>
      <c r="E110" s="264"/>
      <c r="F110" s="263"/>
      <c r="G110" s="264"/>
      <c r="H110" s="263">
        <v>33.659999999999997</v>
      </c>
      <c r="I110" s="264">
        <v>0</v>
      </c>
      <c r="J110" s="262"/>
      <c r="K110" s="260"/>
      <c r="L110" s="262"/>
      <c r="M110" s="265"/>
      <c r="N110" s="265"/>
    </row>
    <row r="111" spans="1:14" s="149" customFormat="1" ht="26.25" x14ac:dyDescent="0.25">
      <c r="A111" s="283" t="s">
        <v>80</v>
      </c>
      <c r="B111" s="284" t="s">
        <v>177</v>
      </c>
      <c r="C111" s="285" t="s">
        <v>695</v>
      </c>
      <c r="D111" s="286"/>
      <c r="E111" s="287"/>
      <c r="F111" s="286"/>
      <c r="G111" s="287"/>
      <c r="H111" s="286">
        <v>33.659999999999997</v>
      </c>
      <c r="I111" s="287">
        <v>0</v>
      </c>
      <c r="J111" s="288"/>
      <c r="K111" s="283" t="s">
        <v>315</v>
      </c>
      <c r="L111" s="262"/>
      <c r="M111" s="265"/>
      <c r="N111" s="265"/>
    </row>
    <row r="112" spans="1:14" s="149" customFormat="1" x14ac:dyDescent="0.25">
      <c r="A112" s="260" t="s">
        <v>81</v>
      </c>
      <c r="B112" s="261" t="s">
        <v>180</v>
      </c>
      <c r="C112" s="262" t="s">
        <v>695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82</v>
      </c>
      <c r="B113" s="261" t="s">
        <v>179</v>
      </c>
      <c r="C113" s="262" t="s">
        <v>695</v>
      </c>
      <c r="D113" s="263"/>
      <c r="E113" s="264"/>
      <c r="F113" s="263"/>
      <c r="G113" s="264"/>
      <c r="H113" s="263">
        <v>53.95</v>
      </c>
      <c r="I113" s="264">
        <v>58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83</v>
      </c>
      <c r="B114" s="261" t="s">
        <v>178</v>
      </c>
      <c r="C114" s="262" t="s">
        <v>695</v>
      </c>
      <c r="D114" s="263"/>
      <c r="E114" s="264"/>
      <c r="F114" s="263"/>
      <c r="G114" s="264"/>
      <c r="H114" s="263">
        <v>33.659999999999997</v>
      </c>
      <c r="I114" s="264">
        <v>1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84</v>
      </c>
      <c r="B115" s="261" t="s">
        <v>175</v>
      </c>
      <c r="C115" s="262" t="s">
        <v>695</v>
      </c>
      <c r="D115" s="263"/>
      <c r="E115" s="264"/>
      <c r="F115" s="263"/>
      <c r="G115" s="264"/>
      <c r="H115" s="263">
        <v>33.659999999999997</v>
      </c>
      <c r="I115" s="264">
        <v>3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85</v>
      </c>
      <c r="B116" s="261" t="s">
        <v>184</v>
      </c>
      <c r="C116" s="262" t="s">
        <v>695</v>
      </c>
      <c r="D116" s="263"/>
      <c r="E116" s="264"/>
      <c r="F116" s="263"/>
      <c r="G116" s="264"/>
      <c r="H116" s="263">
        <v>33.659999999999997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86</v>
      </c>
      <c r="B117" s="261" t="s">
        <v>185</v>
      </c>
      <c r="C117" s="262" t="s">
        <v>695</v>
      </c>
      <c r="D117" s="263"/>
      <c r="E117" s="264"/>
      <c r="F117" s="263"/>
      <c r="G117" s="264"/>
      <c r="H117" s="263">
        <v>33.659999999999997</v>
      </c>
      <c r="I117" s="264">
        <v>1</v>
      </c>
      <c r="J117" s="262"/>
      <c r="K117" s="260"/>
      <c r="L117" s="262"/>
      <c r="M117" s="265"/>
      <c r="N117" s="265"/>
    </row>
    <row r="118" spans="1:14" s="149" customFormat="1" x14ac:dyDescent="0.25">
      <c r="A118" s="260" t="s">
        <v>87</v>
      </c>
      <c r="B118" s="261" t="s">
        <v>181</v>
      </c>
      <c r="C118" s="262" t="s">
        <v>695</v>
      </c>
      <c r="D118" s="263"/>
      <c r="E118" s="264"/>
      <c r="F118" s="263"/>
      <c r="G118" s="264"/>
      <c r="H118" s="263">
        <v>33.659999999999997</v>
      </c>
      <c r="I118" s="264">
        <v>1</v>
      </c>
      <c r="J118" s="262"/>
      <c r="K118" s="260"/>
      <c r="L118" s="262"/>
      <c r="M118" s="265"/>
      <c r="N118" s="265"/>
    </row>
    <row r="119" spans="1:14" s="149" customFormat="1" ht="26.25" x14ac:dyDescent="0.25">
      <c r="A119" s="260" t="s">
        <v>88</v>
      </c>
      <c r="B119" s="261" t="s">
        <v>172</v>
      </c>
      <c r="C119" s="262" t="s">
        <v>695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89</v>
      </c>
      <c r="B120" s="261" t="s">
        <v>173</v>
      </c>
      <c r="C120" s="262" t="s">
        <v>695</v>
      </c>
      <c r="D120" s="263"/>
      <c r="E120" s="264"/>
      <c r="F120" s="263"/>
      <c r="G120" s="264"/>
      <c r="H120" s="263">
        <v>33.659999999999997</v>
      </c>
      <c r="I120" s="264">
        <v>2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90</v>
      </c>
      <c r="B121" s="261" t="s">
        <v>174</v>
      </c>
      <c r="C121" s="262" t="s">
        <v>695</v>
      </c>
      <c r="D121" s="263"/>
      <c r="E121" s="264"/>
      <c r="F121" s="263"/>
      <c r="G121" s="264"/>
      <c r="H121" s="263">
        <v>33.659999999999997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91</v>
      </c>
      <c r="B122" s="261" t="s">
        <v>182</v>
      </c>
      <c r="C122" s="262" t="s">
        <v>695</v>
      </c>
      <c r="D122" s="263"/>
      <c r="E122" s="264"/>
      <c r="F122" s="263"/>
      <c r="G122" s="264"/>
      <c r="H122" s="263">
        <v>33.659999999999997</v>
      </c>
      <c r="I122" s="264">
        <v>13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92</v>
      </c>
      <c r="B123" s="261" t="s">
        <v>186</v>
      </c>
      <c r="C123" s="262" t="s">
        <v>695</v>
      </c>
      <c r="D123" s="263"/>
      <c r="E123" s="264"/>
      <c r="F123" s="263"/>
      <c r="G123" s="264"/>
      <c r="H123" s="263">
        <v>33.659999999999997</v>
      </c>
      <c r="I123" s="264">
        <v>3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93</v>
      </c>
      <c r="B124" s="261" t="s">
        <v>183</v>
      </c>
      <c r="C124" s="262" t="s">
        <v>695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103</v>
      </c>
      <c r="B125" s="261" t="s">
        <v>194</v>
      </c>
      <c r="C125" s="262" t="s">
        <v>695</v>
      </c>
      <c r="D125" s="263"/>
      <c r="E125" s="264"/>
      <c r="F125" s="263"/>
      <c r="G125" s="264"/>
      <c r="H125" s="263">
        <v>33.659999999999997</v>
      </c>
      <c r="I125" s="264">
        <v>5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104</v>
      </c>
      <c r="B126" s="268" t="s">
        <v>195</v>
      </c>
      <c r="C126" s="245" t="s">
        <v>577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105</v>
      </c>
      <c r="B127" s="261" t="s">
        <v>196</v>
      </c>
      <c r="C127" s="262" t="s">
        <v>695</v>
      </c>
      <c r="D127" s="263"/>
      <c r="E127" s="264"/>
      <c r="F127" s="263"/>
      <c r="G127" s="264"/>
      <c r="H127" s="263">
        <v>50.49</v>
      </c>
      <c r="I127" s="264">
        <v>3</v>
      </c>
      <c r="J127" s="262"/>
      <c r="K127" s="260"/>
      <c r="L127" s="262"/>
      <c r="M127" s="265"/>
      <c r="N127" s="265"/>
    </row>
    <row r="128" spans="1:14" s="149" customFormat="1" x14ac:dyDescent="0.25">
      <c r="A128" s="260" t="s">
        <v>68</v>
      </c>
      <c r="B128" s="261" t="s">
        <v>166</v>
      </c>
      <c r="C128" s="262" t="s">
        <v>695</v>
      </c>
      <c r="D128" s="263"/>
      <c r="E128" s="264"/>
      <c r="F128" s="263"/>
      <c r="G128" s="264"/>
      <c r="H128" s="263">
        <v>44.87</v>
      </c>
      <c r="I128" s="264">
        <v>41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46</v>
      </c>
      <c r="B129" s="261" t="s">
        <v>193</v>
      </c>
      <c r="C129" s="262" t="s">
        <v>695</v>
      </c>
      <c r="D129" s="263"/>
      <c r="E129" s="264"/>
      <c r="F129" s="263"/>
      <c r="G129" s="264"/>
      <c r="H129" s="263">
        <v>33.659999999999997</v>
      </c>
      <c r="I129" s="264">
        <v>14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17</v>
      </c>
      <c r="B130" s="261" t="s">
        <v>192</v>
      </c>
      <c r="C130" s="262" t="s">
        <v>695</v>
      </c>
      <c r="D130" s="263"/>
      <c r="E130" s="264"/>
      <c r="F130" s="263"/>
      <c r="G130" s="264"/>
      <c r="H130" s="263">
        <v>33.659999999999997</v>
      </c>
      <c r="I130" s="264">
        <v>0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47</v>
      </c>
      <c r="B131" s="261" t="s">
        <v>139</v>
      </c>
      <c r="C131" s="262" t="s">
        <v>706</v>
      </c>
      <c r="D131" s="263"/>
      <c r="E131" s="264"/>
      <c r="F131" s="263"/>
      <c r="G131" s="264"/>
      <c r="H131" s="263">
        <v>43.27</v>
      </c>
      <c r="I131" s="264">
        <v>38</v>
      </c>
      <c r="J131" s="262"/>
      <c r="K131" s="260"/>
      <c r="L131" s="262"/>
      <c r="M131" s="265"/>
      <c r="N131" s="265"/>
    </row>
    <row r="132" spans="1:14" s="149" customFormat="1" x14ac:dyDescent="0.25">
      <c r="A132" s="260" t="s">
        <v>64</v>
      </c>
      <c r="B132" s="261" t="s">
        <v>191</v>
      </c>
      <c r="C132" s="262" t="s">
        <v>695</v>
      </c>
      <c r="D132" s="263"/>
      <c r="E132" s="264"/>
      <c r="F132" s="263"/>
      <c r="G132" s="264"/>
      <c r="H132" s="263">
        <v>213.32</v>
      </c>
      <c r="I132" s="264">
        <v>306</v>
      </c>
      <c r="J132" s="262"/>
      <c r="K132" s="260"/>
      <c r="L132" s="262"/>
      <c r="M132" s="265"/>
      <c r="N132" s="265"/>
    </row>
    <row r="133" spans="1:14" s="149" customFormat="1" ht="26.25" x14ac:dyDescent="0.25">
      <c r="A133" s="260" t="s">
        <v>130</v>
      </c>
      <c r="B133" s="261" t="s">
        <v>131</v>
      </c>
      <c r="C133" s="262" t="s">
        <v>705</v>
      </c>
      <c r="D133" s="263"/>
      <c r="E133" s="264"/>
      <c r="F133" s="263"/>
      <c r="G133" s="264"/>
      <c r="H133" s="263">
        <v>1358.43</v>
      </c>
      <c r="I133" s="264">
        <v>1810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134</v>
      </c>
      <c r="B134" s="261" t="s">
        <v>133</v>
      </c>
      <c r="C134" s="262" t="s">
        <v>705</v>
      </c>
      <c r="D134" s="263"/>
      <c r="E134" s="264"/>
      <c r="F134" s="263"/>
      <c r="G134" s="264"/>
      <c r="H134" s="263">
        <v>33.659999999999997</v>
      </c>
      <c r="I134" s="264">
        <v>3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543</v>
      </c>
      <c r="B135" s="261" t="s">
        <v>135</v>
      </c>
      <c r="C135" s="262" t="s">
        <v>705</v>
      </c>
      <c r="D135" s="263"/>
      <c r="E135" s="264"/>
      <c r="F135" s="263"/>
      <c r="G135" s="264"/>
      <c r="H135" s="263">
        <v>1861.8</v>
      </c>
      <c r="I135" s="264">
        <v>2468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137</v>
      </c>
      <c r="B136" s="261" t="s">
        <v>138</v>
      </c>
      <c r="C136" s="262" t="s">
        <v>705</v>
      </c>
      <c r="D136" s="263"/>
      <c r="E136" s="264"/>
      <c r="F136" s="263"/>
      <c r="G136" s="264"/>
      <c r="H136" s="263">
        <v>33.659999999999997</v>
      </c>
      <c r="I136" s="264">
        <v>0</v>
      </c>
      <c r="J136" s="262"/>
      <c r="K136" s="260"/>
      <c r="L136" s="262"/>
      <c r="M136" s="265"/>
      <c r="N136" s="265"/>
    </row>
    <row r="137" spans="1:14" s="149" customFormat="1" ht="26.25" x14ac:dyDescent="0.25">
      <c r="A137" s="260" t="s">
        <v>140</v>
      </c>
      <c r="B137" s="261" t="s">
        <v>141</v>
      </c>
      <c r="C137" s="266" t="s">
        <v>705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142</v>
      </c>
      <c r="B138" s="261" t="s">
        <v>143</v>
      </c>
      <c r="C138" s="262" t="s">
        <v>705</v>
      </c>
      <c r="D138" s="263"/>
      <c r="E138" s="264"/>
      <c r="F138" s="263"/>
      <c r="G138" s="264"/>
      <c r="H138" s="263">
        <v>33.659999999999997</v>
      </c>
      <c r="I138" s="264">
        <v>14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587</v>
      </c>
      <c r="B139" s="261" t="s">
        <v>145</v>
      </c>
      <c r="C139" s="262" t="s">
        <v>705</v>
      </c>
      <c r="D139" s="263"/>
      <c r="E139" s="264"/>
      <c r="F139" s="263"/>
      <c r="G139" s="264"/>
      <c r="H139" s="263">
        <v>333.33</v>
      </c>
      <c r="I139" s="264">
        <v>470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588</v>
      </c>
      <c r="B140" s="261" t="s">
        <v>147</v>
      </c>
      <c r="C140" s="262" t="s">
        <v>705</v>
      </c>
      <c r="D140" s="263"/>
      <c r="E140" s="264"/>
      <c r="F140" s="263"/>
      <c r="G140" s="264"/>
      <c r="H140" s="263">
        <v>216.15</v>
      </c>
      <c r="I140" s="264">
        <v>310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176</v>
      </c>
      <c r="B141" s="261" t="s">
        <v>165</v>
      </c>
      <c r="C141" s="262" t="s">
        <v>705</v>
      </c>
      <c r="D141" s="263"/>
      <c r="E141" s="264"/>
      <c r="F141" s="263"/>
      <c r="G141" s="264"/>
      <c r="H141" s="263">
        <v>363.73</v>
      </c>
      <c r="I141" s="264">
        <v>323.39</v>
      </c>
      <c r="J141" s="262"/>
      <c r="K141" s="260"/>
      <c r="L141" s="262"/>
      <c r="M141" s="265"/>
      <c r="N141" s="265"/>
    </row>
    <row r="142" spans="1:14" s="199" customFormat="1" ht="26.25" x14ac:dyDescent="0.25">
      <c r="A142" s="280" t="s">
        <v>433</v>
      </c>
      <c r="B142" s="281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49" customFormat="1" ht="26.25" x14ac:dyDescent="0.25">
      <c r="A143" s="260" t="s">
        <v>107</v>
      </c>
      <c r="B143" s="261">
        <v>67</v>
      </c>
      <c r="C143" s="262" t="s">
        <v>695</v>
      </c>
      <c r="D143" s="263"/>
      <c r="E143" s="264"/>
      <c r="F143" s="263"/>
      <c r="G143" s="264"/>
      <c r="H143" s="263">
        <v>50</v>
      </c>
      <c r="I143" s="264">
        <v>0</v>
      </c>
      <c r="J143" s="262"/>
      <c r="K143" s="260"/>
      <c r="L143" s="262"/>
      <c r="M143" s="265"/>
      <c r="N143" s="265"/>
    </row>
    <row r="144" spans="1:14" s="149" customFormat="1" x14ac:dyDescent="0.25">
      <c r="A144" s="260" t="s">
        <v>109</v>
      </c>
      <c r="B144" s="261">
        <v>95</v>
      </c>
      <c r="C144" s="266" t="s">
        <v>695</v>
      </c>
      <c r="D144" s="263"/>
      <c r="E144" s="264"/>
      <c r="F144" s="263"/>
      <c r="G144" s="264"/>
      <c r="H144" s="263">
        <v>60</v>
      </c>
      <c r="I144" s="264">
        <v>400</v>
      </c>
      <c r="J144" s="262"/>
      <c r="K144" s="260"/>
      <c r="L144" s="262"/>
      <c r="M144" s="265"/>
      <c r="N144" s="265"/>
    </row>
    <row r="145" spans="1:14" s="199" customFormat="1" x14ac:dyDescent="0.25">
      <c r="A145" s="247" t="s">
        <v>432</v>
      </c>
      <c r="B145" s="248"/>
      <c r="C145" s="249"/>
      <c r="D145" s="250"/>
      <c r="E145" s="251"/>
      <c r="F145" s="250"/>
      <c r="G145" s="251"/>
      <c r="H145" s="250"/>
      <c r="I145" s="251"/>
      <c r="J145" s="249"/>
      <c r="K145" s="252"/>
      <c r="L145" s="249"/>
      <c r="M145" s="253"/>
      <c r="N145" s="253"/>
    </row>
    <row r="146" spans="1:14" s="149" customFormat="1" ht="26.25" x14ac:dyDescent="0.25">
      <c r="A146" s="260" t="s">
        <v>156</v>
      </c>
      <c r="B146" s="291">
        <v>61</v>
      </c>
      <c r="C146" s="266">
        <v>42685</v>
      </c>
      <c r="D146" s="263"/>
      <c r="E146" s="264"/>
      <c r="F146" s="263"/>
      <c r="G146" s="264"/>
      <c r="H146" s="263">
        <v>30.15</v>
      </c>
      <c r="I146" s="264">
        <v>60</v>
      </c>
      <c r="J146" s="262"/>
      <c r="K146" s="260"/>
      <c r="L146" s="262"/>
      <c r="M146" s="265"/>
      <c r="N146" s="265"/>
    </row>
    <row r="147" spans="1:14" s="199" customFormat="1" ht="26.25" x14ac:dyDescent="0.25">
      <c r="A147" s="280" t="s">
        <v>431</v>
      </c>
      <c r="B147" s="281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39" x14ac:dyDescent="0.25">
      <c r="A148" s="260" t="s">
        <v>40</v>
      </c>
      <c r="B148" s="261">
        <v>95</v>
      </c>
      <c r="C148" s="266" t="s">
        <v>696</v>
      </c>
      <c r="D148" s="263"/>
      <c r="E148" s="264"/>
      <c r="F148" s="263"/>
      <c r="G148" s="264"/>
      <c r="H148" s="263">
        <v>16</v>
      </c>
      <c r="I148" s="264">
        <v>200</v>
      </c>
      <c r="J148" s="262"/>
      <c r="K148" s="260"/>
      <c r="L148" s="262"/>
      <c r="M148" s="265"/>
      <c r="N148" s="265"/>
    </row>
    <row r="149" spans="1:14" s="199" customFormat="1" ht="39" x14ac:dyDescent="0.25">
      <c r="A149" s="280" t="s">
        <v>430</v>
      </c>
      <c r="B149" s="302"/>
      <c r="C149" s="303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49" customFormat="1" ht="26.25" x14ac:dyDescent="0.25">
      <c r="A150" s="260" t="s">
        <v>355</v>
      </c>
      <c r="B150" s="261" t="s">
        <v>356</v>
      </c>
      <c r="C150" s="266" t="s">
        <v>704</v>
      </c>
      <c r="D150" s="263"/>
      <c r="E150" s="264"/>
      <c r="F150" s="263"/>
      <c r="G150" s="264"/>
      <c r="H150" s="263">
        <v>48.44</v>
      </c>
      <c r="I150" s="264">
        <v>81290</v>
      </c>
      <c r="J150" s="262"/>
      <c r="K150" s="260"/>
      <c r="L150" s="262"/>
      <c r="M150" s="265"/>
      <c r="N150" s="265"/>
    </row>
    <row r="151" spans="1:14" s="184" customFormat="1" x14ac:dyDescent="0.25">
      <c r="A151" s="245"/>
      <c r="B151" s="245"/>
      <c r="C151" s="245"/>
      <c r="D151" s="292">
        <f t="shared" ref="D151:I151" si="0">SUM(D2:D148)</f>
        <v>18889.079999999998</v>
      </c>
      <c r="E151" s="270">
        <f t="shared" si="0"/>
        <v>242442.14</v>
      </c>
      <c r="F151" s="292">
        <f t="shared" si="0"/>
        <v>2540.8300000000004</v>
      </c>
      <c r="G151" s="270">
        <f t="shared" si="0"/>
        <v>6206</v>
      </c>
      <c r="H151" s="292">
        <f t="shared" si="0"/>
        <v>6673.73</v>
      </c>
      <c r="I151" s="270">
        <f t="shared" si="0"/>
        <v>8044.39</v>
      </c>
      <c r="J151" s="292"/>
      <c r="K151" s="245"/>
      <c r="L151" s="245"/>
      <c r="M151" s="246"/>
      <c r="N151" s="246"/>
    </row>
    <row r="152" spans="1:14" s="150" customFormat="1" x14ac:dyDescent="0.25">
      <c r="A152" s="293"/>
      <c r="B152" s="293"/>
      <c r="C152" s="293"/>
      <c r="D152" s="293"/>
      <c r="E152" s="294"/>
      <c r="F152" s="293"/>
      <c r="G152" s="294"/>
      <c r="H152" s="293"/>
      <c r="I152" s="294"/>
      <c r="J152" s="293"/>
      <c r="K152" s="293"/>
      <c r="L152" s="293"/>
      <c r="M152" s="295"/>
      <c r="N152" s="295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</sheetData>
  <pageMargins left="0.7" right="0.7" top="0.75" bottom="0.75" header="0.3" footer="0.3"/>
  <pageSetup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467"/>
      <c r="B4" s="468"/>
      <c r="C4" s="468"/>
      <c r="D4" s="468"/>
      <c r="E4" s="468"/>
      <c r="F4" s="468"/>
      <c r="G4" s="46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262920.42</v>
      </c>
      <c r="D13" s="34"/>
      <c r="E13" s="35" t="s">
        <v>33</v>
      </c>
      <c r="F13" s="34"/>
      <c r="G13" s="42">
        <v>25775.43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1323</v>
      </c>
      <c r="D15" s="34"/>
      <c r="E15" s="35" t="s">
        <v>10</v>
      </c>
      <c r="F15" s="34"/>
      <c r="G15" s="42">
        <v>1581.66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10232</v>
      </c>
      <c r="D17" s="34"/>
      <c r="E17" s="35" t="s">
        <v>278</v>
      </c>
      <c r="F17" s="34"/>
      <c r="G17" s="42">
        <v>7112.44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Z153"/>
  <sheetViews>
    <sheetView zoomScale="115" zoomScaleNormal="115" workbookViewId="0">
      <pane ySplit="2" topLeftCell="A51" activePane="bottomLeft" state="frozen"/>
      <selection pane="bottomLeft" activeCell="A89" sqref="A89:XFD90"/>
    </sheetView>
  </sheetViews>
  <sheetFormatPr defaultRowHeight="15" x14ac:dyDescent="0.25"/>
  <cols>
    <col min="1" max="1" width="23.5703125" style="106" customWidth="1"/>
    <col min="2" max="2" width="20.42578125" style="106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6.140625" style="106" customWidth="1"/>
    <col min="11" max="11" width="6.7109375" style="106" customWidth="1"/>
    <col min="12" max="12" width="0.42578125" style="389" customWidth="1"/>
    <col min="13" max="13" width="12.7109375" style="386" bestFit="1" customWidth="1"/>
    <col min="14" max="14" width="10.42578125" style="386" bestFit="1" customWidth="1"/>
    <col min="15" max="78" width="9.140625" style="184"/>
    <col min="79" max="16384" width="9.140625" style="147"/>
  </cols>
  <sheetData>
    <row r="1" spans="1:78" s="184" customFormat="1" x14ac:dyDescent="0.25">
      <c r="A1" s="178" t="s">
        <v>0</v>
      </c>
      <c r="B1" s="385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389"/>
      <c r="M1" s="386"/>
      <c r="N1" s="386"/>
    </row>
    <row r="2" spans="1:78" s="199" customFormat="1" x14ac:dyDescent="0.25">
      <c r="A2" s="202" t="s">
        <v>437</v>
      </c>
      <c r="B2" s="387"/>
      <c r="C2" s="194"/>
      <c r="D2" s="195"/>
      <c r="E2" s="196"/>
      <c r="F2" s="195"/>
      <c r="G2" s="196"/>
      <c r="H2" s="195"/>
      <c r="I2" s="196"/>
      <c r="J2" s="194"/>
      <c r="K2" s="197"/>
      <c r="L2" s="389"/>
      <c r="M2" s="388"/>
      <c r="N2" s="388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</row>
    <row r="3" spans="1:78" s="396" customFormat="1" ht="25.5" x14ac:dyDescent="0.2">
      <c r="A3" s="390" t="s">
        <v>339</v>
      </c>
      <c r="B3" s="391">
        <v>3038136345</v>
      </c>
      <c r="C3" s="392" t="s">
        <v>673</v>
      </c>
      <c r="D3" s="393"/>
      <c r="E3" s="394"/>
      <c r="F3" s="393">
        <v>743.65</v>
      </c>
      <c r="G3" s="394">
        <v>1034</v>
      </c>
      <c r="H3" s="393"/>
      <c r="I3" s="394"/>
      <c r="J3" s="392" t="s">
        <v>10</v>
      </c>
      <c r="K3" s="395"/>
      <c r="L3" s="442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478"/>
      <c r="AF3" s="478"/>
      <c r="AG3" s="478"/>
      <c r="AH3" s="478"/>
      <c r="AI3" s="478"/>
      <c r="AJ3" s="478"/>
      <c r="AK3" s="478"/>
      <c r="AL3" s="478"/>
      <c r="AM3" s="478"/>
      <c r="AN3" s="478"/>
      <c r="AO3" s="478"/>
      <c r="AP3" s="478"/>
      <c r="AQ3" s="478"/>
      <c r="AR3" s="478"/>
      <c r="AS3" s="478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8"/>
      <c r="BO3" s="478"/>
      <c r="BP3" s="478"/>
      <c r="BQ3" s="478"/>
      <c r="BR3" s="478"/>
      <c r="BS3" s="478"/>
      <c r="BT3" s="478"/>
      <c r="BU3" s="478"/>
      <c r="BV3" s="478"/>
      <c r="BW3" s="478"/>
      <c r="BX3" s="478"/>
      <c r="BY3" s="478"/>
      <c r="BZ3" s="478"/>
    </row>
    <row r="4" spans="1:78" s="403" customFormat="1" ht="25.5" x14ac:dyDescent="0.2">
      <c r="A4" s="397" t="s">
        <v>13</v>
      </c>
      <c r="B4" s="398">
        <v>3026210376</v>
      </c>
      <c r="C4" s="399" t="s">
        <v>675</v>
      </c>
      <c r="D4" s="400"/>
      <c r="E4" s="401"/>
      <c r="F4" s="400">
        <v>57.26</v>
      </c>
      <c r="G4" s="401">
        <v>19</v>
      </c>
      <c r="H4" s="400"/>
      <c r="I4" s="401"/>
      <c r="J4" s="399" t="s">
        <v>10</v>
      </c>
      <c r="K4" s="402"/>
      <c r="L4" s="409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  <c r="BY4" s="418"/>
      <c r="BZ4" s="418"/>
    </row>
    <row r="5" spans="1:78" s="411" customFormat="1" ht="12.75" x14ac:dyDescent="0.2">
      <c r="A5" s="404" t="s">
        <v>36</v>
      </c>
      <c r="B5" s="405">
        <v>3039781986</v>
      </c>
      <c r="C5" s="406" t="s">
        <v>569</v>
      </c>
      <c r="D5" s="407"/>
      <c r="E5" s="408"/>
      <c r="F5" s="407">
        <v>43.41</v>
      </c>
      <c r="G5" s="408">
        <v>0</v>
      </c>
      <c r="H5" s="407"/>
      <c r="I5" s="408"/>
      <c r="J5" s="409" t="s">
        <v>10</v>
      </c>
      <c r="K5" s="410"/>
      <c r="L5" s="409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8"/>
      <c r="AQ5" s="418"/>
      <c r="AR5" s="418"/>
      <c r="AS5" s="418"/>
      <c r="AT5" s="418"/>
      <c r="AU5" s="418"/>
      <c r="AV5" s="418"/>
      <c r="AW5" s="418"/>
      <c r="AX5" s="418"/>
      <c r="AY5" s="418"/>
      <c r="AZ5" s="418"/>
      <c r="BA5" s="418"/>
      <c r="BB5" s="418"/>
      <c r="BC5" s="418"/>
      <c r="BD5" s="418"/>
      <c r="BE5" s="418"/>
      <c r="BF5" s="418"/>
      <c r="BG5" s="418"/>
      <c r="BH5" s="418"/>
      <c r="BI5" s="418"/>
      <c r="BJ5" s="418"/>
      <c r="BK5" s="418"/>
      <c r="BL5" s="418"/>
      <c r="BM5" s="418"/>
      <c r="BN5" s="418"/>
      <c r="BO5" s="418"/>
      <c r="BP5" s="418"/>
      <c r="BQ5" s="418"/>
      <c r="BR5" s="418"/>
      <c r="BS5" s="418"/>
      <c r="BT5" s="418"/>
      <c r="BU5" s="418"/>
      <c r="BV5" s="418"/>
      <c r="BW5" s="418"/>
      <c r="BX5" s="418"/>
      <c r="BY5" s="418"/>
      <c r="BZ5" s="418"/>
    </row>
    <row r="6" spans="1:78" s="396" customFormat="1" ht="12.75" x14ac:dyDescent="0.2">
      <c r="A6" s="390" t="s">
        <v>34</v>
      </c>
      <c r="B6" s="391">
        <v>3039472917</v>
      </c>
      <c r="C6" s="392" t="s">
        <v>676</v>
      </c>
      <c r="D6" s="393"/>
      <c r="E6" s="394"/>
      <c r="F6" s="393">
        <v>56.6</v>
      </c>
      <c r="G6" s="394">
        <v>18</v>
      </c>
      <c r="H6" s="393"/>
      <c r="I6" s="394"/>
      <c r="J6" s="392" t="s">
        <v>10</v>
      </c>
      <c r="K6" s="395"/>
      <c r="L6" s="442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78"/>
      <c r="AJ6" s="478"/>
      <c r="AK6" s="478"/>
      <c r="AL6" s="478"/>
      <c r="AM6" s="478"/>
      <c r="AN6" s="478"/>
      <c r="AO6" s="478"/>
      <c r="AP6" s="478"/>
      <c r="AQ6" s="478"/>
      <c r="AR6" s="478"/>
      <c r="AS6" s="478"/>
      <c r="AT6" s="478"/>
      <c r="AU6" s="478"/>
      <c r="AV6" s="478"/>
      <c r="AW6" s="478"/>
      <c r="AX6" s="478"/>
      <c r="AY6" s="478"/>
      <c r="AZ6" s="478"/>
      <c r="BA6" s="478"/>
      <c r="BB6" s="478"/>
      <c r="BC6" s="478"/>
      <c r="BD6" s="478"/>
      <c r="BE6" s="478"/>
      <c r="BF6" s="478"/>
      <c r="BG6" s="478"/>
      <c r="BH6" s="478"/>
      <c r="BI6" s="478"/>
      <c r="BJ6" s="478"/>
      <c r="BK6" s="478"/>
      <c r="BL6" s="478"/>
      <c r="BM6" s="478"/>
      <c r="BN6" s="478"/>
      <c r="BO6" s="478"/>
      <c r="BP6" s="478"/>
      <c r="BQ6" s="478"/>
      <c r="BR6" s="478"/>
      <c r="BS6" s="478"/>
      <c r="BT6" s="478"/>
      <c r="BU6" s="478"/>
      <c r="BV6" s="478"/>
      <c r="BW6" s="478"/>
      <c r="BX6" s="478"/>
      <c r="BY6" s="478"/>
      <c r="BZ6" s="478"/>
    </row>
    <row r="7" spans="1:78" s="403" customFormat="1" ht="12.75" x14ac:dyDescent="0.2">
      <c r="A7" s="397" t="s">
        <v>37</v>
      </c>
      <c r="B7" s="398">
        <v>4005211270</v>
      </c>
      <c r="C7" s="399" t="s">
        <v>677</v>
      </c>
      <c r="D7" s="400"/>
      <c r="E7" s="401"/>
      <c r="F7" s="400">
        <v>45.77</v>
      </c>
      <c r="G7" s="401">
        <v>2</v>
      </c>
      <c r="H7" s="400"/>
      <c r="I7" s="401"/>
      <c r="J7" s="399" t="s">
        <v>10</v>
      </c>
      <c r="K7" s="402"/>
      <c r="L7" s="409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8"/>
      <c r="AI7" s="418"/>
      <c r="AJ7" s="418"/>
      <c r="AK7" s="418"/>
      <c r="AL7" s="418"/>
      <c r="AM7" s="418"/>
      <c r="AN7" s="418"/>
      <c r="AO7" s="418"/>
      <c r="AP7" s="418"/>
      <c r="AQ7" s="418"/>
      <c r="AR7" s="418"/>
      <c r="AS7" s="418"/>
      <c r="AT7" s="418"/>
      <c r="AU7" s="418"/>
      <c r="AV7" s="418"/>
      <c r="AW7" s="418"/>
      <c r="AX7" s="418"/>
      <c r="AY7" s="418"/>
      <c r="AZ7" s="418"/>
      <c r="BA7" s="418"/>
      <c r="BB7" s="418"/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418"/>
      <c r="BR7" s="418"/>
      <c r="BS7" s="418"/>
      <c r="BT7" s="418"/>
      <c r="BU7" s="418"/>
      <c r="BV7" s="418"/>
      <c r="BW7" s="418"/>
      <c r="BX7" s="418"/>
      <c r="BY7" s="418"/>
      <c r="BZ7" s="418"/>
    </row>
    <row r="8" spans="1:78" s="403" customFormat="1" ht="25.5" x14ac:dyDescent="0.2">
      <c r="A8" s="397" t="s">
        <v>41</v>
      </c>
      <c r="B8" s="398">
        <v>3044004323</v>
      </c>
      <c r="C8" s="399" t="s">
        <v>673</v>
      </c>
      <c r="D8" s="400"/>
      <c r="E8" s="401"/>
      <c r="F8" s="400">
        <v>60.41</v>
      </c>
      <c r="G8" s="401">
        <v>12</v>
      </c>
      <c r="H8" s="400"/>
      <c r="I8" s="401"/>
      <c r="J8" s="399" t="s">
        <v>10</v>
      </c>
      <c r="K8" s="402"/>
      <c r="L8" s="399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Z8" s="418"/>
      <c r="AA8" s="418"/>
      <c r="AB8" s="418"/>
      <c r="AC8" s="418"/>
      <c r="AD8" s="418"/>
      <c r="AE8" s="418"/>
      <c r="AF8" s="418"/>
      <c r="AG8" s="418"/>
      <c r="AH8" s="418"/>
      <c r="AI8" s="418"/>
      <c r="AJ8" s="418"/>
      <c r="AK8" s="418"/>
      <c r="AL8" s="418"/>
      <c r="AM8" s="418"/>
      <c r="AN8" s="418"/>
      <c r="AO8" s="418"/>
      <c r="AP8" s="418"/>
      <c r="AQ8" s="418"/>
      <c r="AR8" s="418"/>
      <c r="AS8" s="418"/>
      <c r="AT8" s="418"/>
      <c r="AU8" s="418"/>
      <c r="AV8" s="418"/>
      <c r="AW8" s="418"/>
      <c r="AX8" s="418"/>
      <c r="AY8" s="418"/>
      <c r="AZ8" s="418"/>
      <c r="BA8" s="418"/>
      <c r="BB8" s="418"/>
      <c r="BC8" s="418"/>
      <c r="BD8" s="418"/>
      <c r="BE8" s="418"/>
      <c r="BF8" s="418"/>
      <c r="BG8" s="418"/>
      <c r="BH8" s="418"/>
      <c r="BI8" s="418"/>
      <c r="BJ8" s="418"/>
      <c r="BK8" s="418"/>
      <c r="BL8" s="418"/>
      <c r="BM8" s="418"/>
      <c r="BN8" s="418"/>
      <c r="BO8" s="418"/>
      <c r="BP8" s="418"/>
      <c r="BQ8" s="418"/>
      <c r="BR8" s="418"/>
      <c r="BS8" s="418"/>
      <c r="BT8" s="418"/>
      <c r="BU8" s="418"/>
      <c r="BV8" s="418"/>
      <c r="BW8" s="418"/>
      <c r="BX8" s="418"/>
      <c r="BY8" s="418"/>
      <c r="BZ8" s="418"/>
    </row>
    <row r="9" spans="1:78" s="403" customFormat="1" ht="38.25" x14ac:dyDescent="0.2">
      <c r="A9" s="397" t="s">
        <v>42</v>
      </c>
      <c r="B9" s="398">
        <v>3029257704</v>
      </c>
      <c r="C9" s="399" t="s">
        <v>673</v>
      </c>
      <c r="D9" s="400"/>
      <c r="E9" s="401"/>
      <c r="F9" s="400">
        <v>55.47</v>
      </c>
      <c r="G9" s="401">
        <v>4</v>
      </c>
      <c r="H9" s="400"/>
      <c r="I9" s="401"/>
      <c r="J9" s="399" t="s">
        <v>10</v>
      </c>
      <c r="K9" s="402"/>
      <c r="L9" s="399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418"/>
      <c r="AA9" s="418"/>
      <c r="AB9" s="418"/>
      <c r="AC9" s="418"/>
      <c r="AD9" s="418"/>
      <c r="AE9" s="418"/>
      <c r="AF9" s="418"/>
      <c r="AG9" s="418"/>
      <c r="AH9" s="418"/>
      <c r="AI9" s="418"/>
      <c r="AJ9" s="418"/>
      <c r="AK9" s="418"/>
      <c r="AL9" s="418"/>
      <c r="AM9" s="418"/>
      <c r="AN9" s="418"/>
      <c r="AO9" s="418"/>
      <c r="AP9" s="418"/>
      <c r="AQ9" s="418"/>
      <c r="AR9" s="418"/>
      <c r="AS9" s="418"/>
      <c r="AT9" s="418"/>
      <c r="AU9" s="418"/>
      <c r="AV9" s="418"/>
      <c r="AW9" s="418"/>
      <c r="AX9" s="418"/>
      <c r="AY9" s="418"/>
      <c r="AZ9" s="418"/>
      <c r="BA9" s="418"/>
      <c r="BB9" s="418"/>
      <c r="BC9" s="418"/>
      <c r="BD9" s="418"/>
      <c r="BE9" s="418"/>
      <c r="BF9" s="418"/>
      <c r="BG9" s="418"/>
      <c r="BH9" s="418"/>
      <c r="BI9" s="418"/>
      <c r="BJ9" s="418"/>
      <c r="BK9" s="418"/>
      <c r="BL9" s="418"/>
      <c r="BM9" s="418"/>
      <c r="BN9" s="418"/>
      <c r="BO9" s="418"/>
      <c r="BP9" s="418"/>
      <c r="BQ9" s="418"/>
      <c r="BR9" s="418"/>
      <c r="BS9" s="418"/>
      <c r="BT9" s="418"/>
      <c r="BU9" s="418"/>
      <c r="BV9" s="418"/>
      <c r="BW9" s="418"/>
      <c r="BX9" s="418"/>
      <c r="BY9" s="418"/>
      <c r="BZ9" s="418"/>
    </row>
    <row r="10" spans="1:78" s="403" customFormat="1" ht="25.5" x14ac:dyDescent="0.2">
      <c r="A10" s="397" t="s">
        <v>44</v>
      </c>
      <c r="B10" s="398">
        <v>3039640691</v>
      </c>
      <c r="C10" s="399" t="s">
        <v>675</v>
      </c>
      <c r="D10" s="400"/>
      <c r="E10" s="401"/>
      <c r="F10" s="400">
        <v>53.21</v>
      </c>
      <c r="G10" s="401">
        <v>13</v>
      </c>
      <c r="H10" s="400"/>
      <c r="I10" s="401"/>
      <c r="J10" s="399" t="s">
        <v>10</v>
      </c>
      <c r="K10" s="402"/>
      <c r="L10" s="399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  <c r="AC10" s="418"/>
      <c r="AD10" s="418"/>
      <c r="AE10" s="418"/>
      <c r="AF10" s="418"/>
      <c r="AG10" s="418"/>
      <c r="AH10" s="418"/>
      <c r="AI10" s="418"/>
      <c r="AJ10" s="418"/>
      <c r="AK10" s="418"/>
      <c r="AL10" s="418"/>
      <c r="AM10" s="418"/>
      <c r="AN10" s="418"/>
      <c r="AO10" s="418"/>
      <c r="AP10" s="418"/>
      <c r="AQ10" s="418"/>
      <c r="AR10" s="418"/>
      <c r="AS10" s="418"/>
      <c r="AT10" s="418"/>
      <c r="AU10" s="418"/>
      <c r="AV10" s="418"/>
      <c r="AW10" s="418"/>
      <c r="AX10" s="418"/>
      <c r="AY10" s="418"/>
      <c r="AZ10" s="418"/>
      <c r="BA10" s="418"/>
      <c r="BB10" s="418"/>
      <c r="BC10" s="418"/>
      <c r="BD10" s="418"/>
      <c r="BE10" s="418"/>
      <c r="BF10" s="418"/>
      <c r="BG10" s="418"/>
      <c r="BH10" s="418"/>
      <c r="BI10" s="418"/>
      <c r="BJ10" s="418"/>
      <c r="BK10" s="418"/>
      <c r="BL10" s="418"/>
      <c r="BM10" s="418"/>
      <c r="BN10" s="418"/>
      <c r="BO10" s="418"/>
      <c r="BP10" s="418"/>
      <c r="BQ10" s="418"/>
      <c r="BR10" s="418"/>
      <c r="BS10" s="418"/>
      <c r="BT10" s="418"/>
      <c r="BU10" s="418"/>
      <c r="BV10" s="418"/>
      <c r="BW10" s="418"/>
      <c r="BX10" s="418"/>
      <c r="BY10" s="418"/>
      <c r="BZ10" s="418"/>
    </row>
    <row r="11" spans="1:78" s="403" customFormat="1" ht="12.75" x14ac:dyDescent="0.2">
      <c r="A11" s="397" t="s">
        <v>43</v>
      </c>
      <c r="B11" s="398">
        <v>3039782225</v>
      </c>
      <c r="C11" s="399" t="s">
        <v>675</v>
      </c>
      <c r="D11" s="400"/>
      <c r="E11" s="401"/>
      <c r="F11" s="400">
        <v>72.83</v>
      </c>
      <c r="G11" s="401">
        <v>42</v>
      </c>
      <c r="H11" s="400"/>
      <c r="I11" s="401"/>
      <c r="J11" s="399" t="s">
        <v>10</v>
      </c>
      <c r="K11" s="402"/>
      <c r="L11" s="409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  <c r="AV11" s="418"/>
      <c r="AW11" s="418"/>
      <c r="AX11" s="418"/>
      <c r="AY11" s="418"/>
      <c r="AZ11" s="418"/>
      <c r="BA11" s="418"/>
      <c r="BB11" s="418"/>
      <c r="BC11" s="418"/>
      <c r="BD11" s="418"/>
      <c r="BE11" s="418"/>
      <c r="BF11" s="418"/>
      <c r="BG11" s="418"/>
      <c r="BH11" s="418"/>
      <c r="BI11" s="418"/>
      <c r="BJ11" s="418"/>
      <c r="BK11" s="418"/>
      <c r="BL11" s="418"/>
      <c r="BM11" s="418"/>
      <c r="BN11" s="418"/>
      <c r="BO11" s="418"/>
      <c r="BP11" s="418"/>
      <c r="BQ11" s="418"/>
      <c r="BR11" s="418"/>
      <c r="BS11" s="418"/>
      <c r="BT11" s="418"/>
      <c r="BU11" s="418"/>
      <c r="BV11" s="418"/>
      <c r="BW11" s="418"/>
      <c r="BX11" s="418"/>
      <c r="BY11" s="418"/>
      <c r="BZ11" s="418"/>
    </row>
    <row r="12" spans="1:78" s="403" customFormat="1" ht="25.5" x14ac:dyDescent="0.2">
      <c r="A12" s="397" t="s">
        <v>610</v>
      </c>
      <c r="B12" s="398">
        <v>3039618715</v>
      </c>
      <c r="C12" s="482" t="s">
        <v>691</v>
      </c>
      <c r="D12" s="400"/>
      <c r="E12" s="401"/>
      <c r="F12" s="400">
        <v>53</v>
      </c>
      <c r="G12" s="401">
        <v>0</v>
      </c>
      <c r="H12" s="400"/>
      <c r="I12" s="401"/>
      <c r="J12" s="399" t="s">
        <v>10</v>
      </c>
      <c r="K12" s="402"/>
      <c r="L12" s="399"/>
    </row>
    <row r="13" spans="1:78" s="403" customFormat="1" ht="25.5" x14ac:dyDescent="0.2">
      <c r="A13" s="397" t="s">
        <v>46</v>
      </c>
      <c r="B13" s="398">
        <v>3023189549</v>
      </c>
      <c r="C13" s="399" t="s">
        <v>675</v>
      </c>
      <c r="D13" s="400"/>
      <c r="E13" s="401"/>
      <c r="F13" s="400">
        <v>44.43</v>
      </c>
      <c r="G13" s="401">
        <v>0</v>
      </c>
      <c r="H13" s="400"/>
      <c r="I13" s="401"/>
      <c r="J13" s="399" t="s">
        <v>10</v>
      </c>
      <c r="K13" s="402"/>
      <c r="L13" s="399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C13" s="418"/>
      <c r="AD13" s="418"/>
      <c r="AE13" s="418"/>
      <c r="AF13" s="418"/>
      <c r="AG13" s="418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418"/>
      <c r="AX13" s="418"/>
      <c r="AY13" s="418"/>
      <c r="AZ13" s="418"/>
      <c r="BA13" s="418"/>
      <c r="BB13" s="418"/>
      <c r="BC13" s="418"/>
      <c r="BD13" s="418"/>
      <c r="BE13" s="418"/>
      <c r="BF13" s="418"/>
      <c r="BG13" s="418"/>
      <c r="BH13" s="418"/>
      <c r="BI13" s="418"/>
      <c r="BJ13" s="418"/>
      <c r="BK13" s="418"/>
      <c r="BL13" s="418"/>
      <c r="BM13" s="418"/>
      <c r="BN13" s="418"/>
      <c r="BO13" s="418"/>
      <c r="BP13" s="418"/>
      <c r="BQ13" s="418"/>
      <c r="BR13" s="418"/>
      <c r="BS13" s="418"/>
      <c r="BT13" s="418"/>
      <c r="BU13" s="418"/>
      <c r="BV13" s="418"/>
      <c r="BW13" s="418"/>
      <c r="BX13" s="418"/>
      <c r="BY13" s="418"/>
      <c r="BZ13" s="418"/>
    </row>
    <row r="14" spans="1:78" s="403" customFormat="1" ht="25.5" x14ac:dyDescent="0.2">
      <c r="A14" s="397" t="s">
        <v>47</v>
      </c>
      <c r="B14" s="398">
        <v>3034878837</v>
      </c>
      <c r="C14" s="399" t="s">
        <v>675</v>
      </c>
      <c r="D14" s="400"/>
      <c r="E14" s="401"/>
      <c r="F14" s="400">
        <v>44.43</v>
      </c>
      <c r="G14" s="401">
        <v>0</v>
      </c>
      <c r="H14" s="400"/>
      <c r="I14" s="401"/>
      <c r="J14" s="399" t="s">
        <v>10</v>
      </c>
      <c r="K14" s="402"/>
      <c r="L14" s="399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418"/>
      <c r="AA14" s="418"/>
      <c r="AB14" s="418"/>
      <c r="AC14" s="418"/>
      <c r="AD14" s="418"/>
      <c r="AE14" s="418"/>
      <c r="AF14" s="418"/>
      <c r="AG14" s="418"/>
      <c r="AH14" s="418"/>
      <c r="AI14" s="418"/>
      <c r="AJ14" s="418"/>
      <c r="AK14" s="418"/>
      <c r="AL14" s="418"/>
      <c r="AM14" s="418"/>
      <c r="AN14" s="418"/>
      <c r="AO14" s="418"/>
      <c r="AP14" s="418"/>
      <c r="AQ14" s="418"/>
      <c r="AR14" s="418"/>
      <c r="AS14" s="418"/>
      <c r="AT14" s="418"/>
      <c r="AU14" s="418"/>
      <c r="AV14" s="418"/>
      <c r="AW14" s="418"/>
      <c r="AX14" s="418"/>
      <c r="AY14" s="418"/>
      <c r="AZ14" s="418"/>
      <c r="BA14" s="418"/>
      <c r="BB14" s="418"/>
      <c r="BC14" s="418"/>
      <c r="BD14" s="418"/>
      <c r="BE14" s="418"/>
      <c r="BF14" s="418"/>
      <c r="BG14" s="418"/>
      <c r="BH14" s="418"/>
      <c r="BI14" s="418"/>
      <c r="BJ14" s="418"/>
      <c r="BK14" s="418"/>
      <c r="BL14" s="418"/>
      <c r="BM14" s="418"/>
      <c r="BN14" s="418"/>
      <c r="BO14" s="418"/>
      <c r="BP14" s="418"/>
      <c r="BQ14" s="418"/>
      <c r="BR14" s="418"/>
      <c r="BS14" s="418"/>
      <c r="BT14" s="418"/>
      <c r="BU14" s="418"/>
      <c r="BV14" s="418"/>
      <c r="BW14" s="418"/>
      <c r="BX14" s="418"/>
      <c r="BY14" s="418"/>
      <c r="BZ14" s="418"/>
    </row>
    <row r="15" spans="1:78" s="403" customFormat="1" ht="12.75" x14ac:dyDescent="0.2">
      <c r="A15" s="397" t="s">
        <v>64</v>
      </c>
      <c r="B15" s="398">
        <v>3025670416</v>
      </c>
      <c r="C15" s="399" t="s">
        <v>677</v>
      </c>
      <c r="D15" s="400"/>
      <c r="E15" s="401"/>
      <c r="F15" s="400">
        <v>50.51</v>
      </c>
      <c r="G15" s="401">
        <v>9</v>
      </c>
      <c r="H15" s="400"/>
      <c r="I15" s="401"/>
      <c r="J15" s="399" t="s">
        <v>10</v>
      </c>
      <c r="K15" s="402"/>
      <c r="L15" s="399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8"/>
      <c r="AJ15" s="418"/>
      <c r="AK15" s="418"/>
      <c r="AL15" s="418"/>
      <c r="AM15" s="418"/>
      <c r="AN15" s="418"/>
      <c r="AO15" s="418"/>
      <c r="AP15" s="418"/>
      <c r="AQ15" s="418"/>
      <c r="AR15" s="418"/>
      <c r="AS15" s="418"/>
      <c r="AT15" s="418"/>
      <c r="AU15" s="418"/>
      <c r="AV15" s="418"/>
      <c r="AW15" s="418"/>
      <c r="AX15" s="418"/>
      <c r="AY15" s="418"/>
      <c r="AZ15" s="418"/>
      <c r="BA15" s="418"/>
      <c r="BB15" s="418"/>
      <c r="BC15" s="418"/>
      <c r="BD15" s="418"/>
      <c r="BE15" s="418"/>
      <c r="BF15" s="418"/>
      <c r="BG15" s="418"/>
      <c r="BH15" s="418"/>
      <c r="BI15" s="418"/>
      <c r="BJ15" s="418"/>
      <c r="BK15" s="418"/>
      <c r="BL15" s="418"/>
      <c r="BM15" s="418"/>
      <c r="BN15" s="418"/>
      <c r="BO15" s="418"/>
      <c r="BP15" s="418"/>
      <c r="BQ15" s="418"/>
      <c r="BR15" s="418"/>
      <c r="BS15" s="418"/>
      <c r="BT15" s="418"/>
      <c r="BU15" s="418"/>
      <c r="BV15" s="418"/>
      <c r="BW15" s="418"/>
      <c r="BX15" s="418"/>
      <c r="BY15" s="418"/>
      <c r="BZ15" s="418"/>
    </row>
    <row r="16" spans="1:78" s="403" customFormat="1" ht="12.75" x14ac:dyDescent="0.2">
      <c r="A16" s="397" t="s">
        <v>65</v>
      </c>
      <c r="B16" s="398">
        <v>3023110891</v>
      </c>
      <c r="C16" s="399" t="s">
        <v>675</v>
      </c>
      <c r="D16" s="400">
        <v>115.43</v>
      </c>
      <c r="E16" s="401">
        <v>105</v>
      </c>
      <c r="F16" s="400">
        <v>114.98</v>
      </c>
      <c r="G16" s="401">
        <v>144</v>
      </c>
      <c r="H16" s="400"/>
      <c r="I16" s="401"/>
      <c r="J16" s="399" t="s">
        <v>10</v>
      </c>
      <c r="K16" s="402"/>
      <c r="L16" s="399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418"/>
      <c r="AI16" s="418"/>
      <c r="AJ16" s="418"/>
      <c r="AK16" s="418"/>
      <c r="AL16" s="418"/>
      <c r="AM16" s="418"/>
      <c r="AN16" s="418"/>
      <c r="AO16" s="418"/>
      <c r="AP16" s="418"/>
      <c r="AQ16" s="418"/>
      <c r="AR16" s="418"/>
      <c r="AS16" s="418"/>
      <c r="AT16" s="418"/>
      <c r="AU16" s="418"/>
      <c r="AV16" s="418"/>
      <c r="AW16" s="418"/>
      <c r="AX16" s="418"/>
      <c r="AY16" s="418"/>
      <c r="AZ16" s="418"/>
      <c r="BA16" s="418"/>
      <c r="BB16" s="418"/>
      <c r="BC16" s="418"/>
      <c r="BD16" s="418"/>
      <c r="BE16" s="418"/>
      <c r="BF16" s="418"/>
      <c r="BG16" s="418"/>
      <c r="BH16" s="418"/>
      <c r="BI16" s="418"/>
      <c r="BJ16" s="418"/>
      <c r="BK16" s="418"/>
      <c r="BL16" s="418"/>
      <c r="BM16" s="418"/>
      <c r="BN16" s="418"/>
      <c r="BO16" s="418"/>
      <c r="BP16" s="418"/>
      <c r="BQ16" s="418"/>
      <c r="BR16" s="418"/>
      <c r="BS16" s="418"/>
      <c r="BT16" s="418"/>
      <c r="BU16" s="418"/>
      <c r="BV16" s="418"/>
      <c r="BW16" s="418"/>
      <c r="BX16" s="418"/>
      <c r="BY16" s="418"/>
      <c r="BZ16" s="418"/>
    </row>
    <row r="17" spans="1:78" s="403" customFormat="1" ht="25.5" x14ac:dyDescent="0.2">
      <c r="A17" s="397" t="s">
        <v>69</v>
      </c>
      <c r="B17" s="398">
        <v>3022125574</v>
      </c>
      <c r="C17" s="399" t="s">
        <v>675</v>
      </c>
      <c r="D17" s="400"/>
      <c r="E17" s="401"/>
      <c r="F17" s="400">
        <v>38.44</v>
      </c>
      <c r="G17" s="401">
        <v>22</v>
      </c>
      <c r="H17" s="400"/>
      <c r="I17" s="401"/>
      <c r="J17" s="399" t="s">
        <v>10</v>
      </c>
      <c r="K17" s="402"/>
      <c r="L17" s="399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  <c r="AJ17" s="418"/>
      <c r="AK17" s="418"/>
      <c r="AL17" s="418"/>
      <c r="AM17" s="418"/>
      <c r="AN17" s="418"/>
      <c r="AO17" s="418"/>
      <c r="AP17" s="418"/>
      <c r="AQ17" s="418"/>
      <c r="AR17" s="418"/>
      <c r="AS17" s="418"/>
      <c r="AT17" s="418"/>
      <c r="AU17" s="418"/>
      <c r="AV17" s="418"/>
      <c r="AW17" s="418"/>
      <c r="AX17" s="418"/>
      <c r="AY17" s="418"/>
      <c r="AZ17" s="418"/>
      <c r="BA17" s="418"/>
      <c r="BB17" s="418"/>
      <c r="BC17" s="418"/>
      <c r="BD17" s="418"/>
      <c r="BE17" s="418"/>
      <c r="BF17" s="418"/>
      <c r="BG17" s="418"/>
      <c r="BH17" s="418"/>
      <c r="BI17" s="418"/>
      <c r="BJ17" s="418"/>
      <c r="BK17" s="418"/>
      <c r="BL17" s="418"/>
      <c r="BM17" s="418"/>
      <c r="BN17" s="418"/>
      <c r="BO17" s="418"/>
      <c r="BP17" s="418"/>
      <c r="BQ17" s="418"/>
      <c r="BR17" s="418"/>
      <c r="BS17" s="418"/>
      <c r="BT17" s="418"/>
      <c r="BU17" s="418"/>
      <c r="BV17" s="418"/>
      <c r="BW17" s="418"/>
      <c r="BX17" s="418"/>
      <c r="BY17" s="418"/>
      <c r="BZ17" s="418"/>
    </row>
    <row r="18" spans="1:78" s="403" customFormat="1" ht="12.75" x14ac:dyDescent="0.2">
      <c r="A18" s="397" t="s">
        <v>68</v>
      </c>
      <c r="B18" s="398">
        <v>3022125841</v>
      </c>
      <c r="C18" s="443" t="s">
        <v>675</v>
      </c>
      <c r="D18" s="400"/>
      <c r="E18" s="401"/>
      <c r="F18" s="400">
        <v>47.26</v>
      </c>
      <c r="G18" s="401">
        <v>4</v>
      </c>
      <c r="H18" s="400"/>
      <c r="I18" s="401"/>
      <c r="J18" s="399" t="s">
        <v>10</v>
      </c>
      <c r="K18" s="402"/>
      <c r="L18" s="399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  <c r="AL18" s="418"/>
      <c r="AM18" s="418"/>
      <c r="AN18" s="418"/>
      <c r="AO18" s="418"/>
      <c r="AP18" s="418"/>
      <c r="AQ18" s="418"/>
      <c r="AR18" s="418"/>
      <c r="AS18" s="418"/>
      <c r="AT18" s="418"/>
      <c r="AU18" s="418"/>
      <c r="AV18" s="418"/>
      <c r="AW18" s="418"/>
      <c r="AX18" s="418"/>
      <c r="AY18" s="418"/>
      <c r="AZ18" s="418"/>
      <c r="BA18" s="418"/>
      <c r="BB18" s="418"/>
      <c r="BC18" s="418"/>
      <c r="BD18" s="418"/>
      <c r="BE18" s="418"/>
      <c r="BF18" s="418"/>
      <c r="BG18" s="418"/>
      <c r="BH18" s="418"/>
      <c r="BI18" s="418"/>
      <c r="BJ18" s="418"/>
      <c r="BK18" s="418"/>
      <c r="BL18" s="418"/>
      <c r="BM18" s="418"/>
      <c r="BN18" s="418"/>
      <c r="BO18" s="418"/>
      <c r="BP18" s="418"/>
      <c r="BQ18" s="418"/>
      <c r="BR18" s="418"/>
      <c r="BS18" s="418"/>
      <c r="BT18" s="418"/>
      <c r="BU18" s="418"/>
      <c r="BV18" s="418"/>
      <c r="BW18" s="418"/>
      <c r="BX18" s="418"/>
      <c r="BY18" s="418"/>
      <c r="BZ18" s="418"/>
    </row>
    <row r="19" spans="1:78" s="426" customFormat="1" ht="12.75" x14ac:dyDescent="0.2">
      <c r="A19" s="420" t="s">
        <v>436</v>
      </c>
      <c r="B19" s="421"/>
      <c r="C19" s="422"/>
      <c r="D19" s="423"/>
      <c r="E19" s="424"/>
      <c r="F19" s="423"/>
      <c r="G19" s="424"/>
      <c r="H19" s="423"/>
      <c r="I19" s="424"/>
      <c r="J19" s="422"/>
      <c r="K19" s="425"/>
      <c r="L19" s="442"/>
      <c r="M19" s="481"/>
      <c r="N19" s="481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8"/>
      <c r="Z19" s="478"/>
      <c r="AA19" s="478"/>
      <c r="AB19" s="478"/>
      <c r="AC19" s="478"/>
      <c r="AD19" s="478"/>
      <c r="AE19" s="478"/>
      <c r="AF19" s="478"/>
      <c r="AG19" s="478"/>
      <c r="AH19" s="478"/>
      <c r="AI19" s="478"/>
      <c r="AJ19" s="478"/>
      <c r="AK19" s="478"/>
      <c r="AL19" s="478"/>
      <c r="AM19" s="478"/>
      <c r="AN19" s="478"/>
      <c r="AO19" s="478"/>
      <c r="AP19" s="478"/>
      <c r="AQ19" s="478"/>
      <c r="AR19" s="478"/>
      <c r="AS19" s="478"/>
      <c r="AT19" s="478"/>
      <c r="AU19" s="478"/>
      <c r="AV19" s="478"/>
      <c r="AW19" s="478"/>
      <c r="AX19" s="478"/>
      <c r="AY19" s="478"/>
      <c r="AZ19" s="478"/>
      <c r="BA19" s="478"/>
      <c r="BB19" s="478"/>
      <c r="BC19" s="478"/>
      <c r="BD19" s="478"/>
      <c r="BE19" s="478"/>
      <c r="BF19" s="478"/>
      <c r="BG19" s="478"/>
      <c r="BH19" s="478"/>
      <c r="BI19" s="478"/>
      <c r="BJ19" s="478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U19" s="478"/>
      <c r="BV19" s="478"/>
      <c r="BW19" s="478"/>
      <c r="BX19" s="478"/>
      <c r="BY19" s="478"/>
      <c r="BZ19" s="478"/>
    </row>
    <row r="20" spans="1:78" s="403" customFormat="1" ht="25.5" x14ac:dyDescent="0.2">
      <c r="A20" s="397" t="s">
        <v>310</v>
      </c>
      <c r="B20" s="398">
        <v>8463322</v>
      </c>
      <c r="C20" s="399" t="s">
        <v>685</v>
      </c>
      <c r="D20" s="400">
        <v>6333.6</v>
      </c>
      <c r="E20" s="401">
        <v>98500</v>
      </c>
      <c r="F20" s="400"/>
      <c r="G20" s="401"/>
      <c r="H20" s="400"/>
      <c r="I20" s="401"/>
      <c r="J20" s="399" t="s">
        <v>33</v>
      </c>
      <c r="K20" s="402"/>
      <c r="L20" s="399"/>
      <c r="M20" s="403" t="s">
        <v>447</v>
      </c>
      <c r="N20" s="403" t="s">
        <v>490</v>
      </c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418"/>
      <c r="AV20" s="418"/>
      <c r="AW20" s="418"/>
      <c r="AX20" s="418"/>
      <c r="AY20" s="418"/>
      <c r="AZ20" s="418"/>
      <c r="BA20" s="418"/>
      <c r="BB20" s="418"/>
      <c r="BC20" s="418"/>
      <c r="BD20" s="418"/>
      <c r="BE20" s="418"/>
      <c r="BF20" s="418"/>
      <c r="BG20" s="418"/>
      <c r="BH20" s="418"/>
      <c r="BI20" s="418"/>
      <c r="BJ20" s="418"/>
      <c r="BK20" s="418"/>
      <c r="BL20" s="418"/>
      <c r="BM20" s="418"/>
      <c r="BN20" s="418"/>
      <c r="BO20" s="418"/>
      <c r="BP20" s="418"/>
      <c r="BQ20" s="418"/>
      <c r="BR20" s="418"/>
      <c r="BS20" s="418"/>
      <c r="BT20" s="418"/>
      <c r="BU20" s="418"/>
      <c r="BV20" s="418"/>
      <c r="BW20" s="418"/>
      <c r="BX20" s="418"/>
      <c r="BY20" s="418"/>
      <c r="BZ20" s="418"/>
    </row>
    <row r="21" spans="1:78" s="403" customFormat="1" ht="12.75" x14ac:dyDescent="0.2">
      <c r="A21" s="397" t="s">
        <v>113</v>
      </c>
      <c r="B21" s="398">
        <v>5089282</v>
      </c>
      <c r="C21" s="399" t="s">
        <v>685</v>
      </c>
      <c r="D21" s="400">
        <v>485.63</v>
      </c>
      <c r="E21" s="401">
        <v>900</v>
      </c>
      <c r="F21" s="400"/>
      <c r="G21" s="401"/>
      <c r="H21" s="400"/>
      <c r="I21" s="401"/>
      <c r="J21" s="399" t="s">
        <v>33</v>
      </c>
      <c r="K21" s="402"/>
      <c r="L21" s="399"/>
      <c r="M21" s="403" t="s">
        <v>447</v>
      </c>
      <c r="N21" s="403" t="s">
        <v>481</v>
      </c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8"/>
      <c r="BL21" s="418"/>
      <c r="BM21" s="418"/>
      <c r="BN21" s="418"/>
      <c r="BO21" s="418"/>
      <c r="BP21" s="418"/>
      <c r="BQ21" s="418"/>
      <c r="BR21" s="418"/>
      <c r="BS21" s="418"/>
      <c r="BT21" s="418"/>
      <c r="BU21" s="418"/>
      <c r="BV21" s="418"/>
      <c r="BW21" s="418"/>
      <c r="BX21" s="418"/>
      <c r="BY21" s="418"/>
      <c r="BZ21" s="418"/>
    </row>
    <row r="22" spans="1:78" s="403" customFormat="1" ht="12.75" x14ac:dyDescent="0.2">
      <c r="A22" s="397" t="s">
        <v>252</v>
      </c>
      <c r="B22" s="399">
        <v>8239130</v>
      </c>
      <c r="C22" s="399" t="s">
        <v>685</v>
      </c>
      <c r="D22" s="400">
        <v>27.89</v>
      </c>
      <c r="E22" s="401">
        <v>166</v>
      </c>
      <c r="F22" s="400"/>
      <c r="G22" s="401"/>
      <c r="H22" s="400"/>
      <c r="I22" s="401"/>
      <c r="J22" s="399" t="s">
        <v>33</v>
      </c>
      <c r="K22" s="402"/>
      <c r="L22" s="399"/>
      <c r="M22" s="403" t="s">
        <v>447</v>
      </c>
      <c r="N22" s="403" t="s">
        <v>485</v>
      </c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418"/>
      <c r="AN22" s="418"/>
      <c r="AO22" s="418"/>
      <c r="AP22" s="418"/>
      <c r="AQ22" s="418"/>
      <c r="AR22" s="418"/>
      <c r="AS22" s="418"/>
      <c r="AT22" s="418"/>
      <c r="AU22" s="418"/>
      <c r="AV22" s="418"/>
      <c r="AW22" s="418"/>
      <c r="AX22" s="418"/>
      <c r="AY22" s="418"/>
      <c r="AZ22" s="418"/>
      <c r="BA22" s="418"/>
      <c r="BB22" s="418"/>
      <c r="BC22" s="418"/>
      <c r="BD22" s="418"/>
      <c r="BE22" s="418"/>
      <c r="BF22" s="418"/>
      <c r="BG22" s="418"/>
      <c r="BH22" s="418"/>
      <c r="BI22" s="418"/>
      <c r="BJ22" s="418"/>
      <c r="BK22" s="418"/>
      <c r="BL22" s="418"/>
      <c r="BM22" s="418"/>
      <c r="BN22" s="418"/>
      <c r="BO22" s="418"/>
      <c r="BP22" s="418"/>
      <c r="BQ22" s="418"/>
      <c r="BR22" s="418"/>
      <c r="BS22" s="418"/>
      <c r="BT22" s="418"/>
      <c r="BU22" s="418"/>
      <c r="BV22" s="418"/>
      <c r="BW22" s="418"/>
      <c r="BX22" s="418"/>
      <c r="BY22" s="418"/>
      <c r="BZ22" s="418"/>
    </row>
    <row r="23" spans="1:78" s="403" customFormat="1" ht="12.75" x14ac:dyDescent="0.2">
      <c r="A23" s="397" t="s">
        <v>114</v>
      </c>
      <c r="B23" s="398">
        <v>5089344</v>
      </c>
      <c r="C23" s="399" t="s">
        <v>685</v>
      </c>
      <c r="D23" s="400">
        <v>59.5</v>
      </c>
      <c r="E23" s="401">
        <v>561</v>
      </c>
      <c r="F23" s="400"/>
      <c r="G23" s="401"/>
      <c r="H23" s="400"/>
      <c r="I23" s="401"/>
      <c r="J23" s="399" t="s">
        <v>33</v>
      </c>
      <c r="K23" s="402"/>
      <c r="L23" s="399"/>
      <c r="M23" s="403" t="s">
        <v>447</v>
      </c>
      <c r="N23" s="403" t="s">
        <v>483</v>
      </c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18"/>
      <c r="AW23" s="418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8"/>
      <c r="BM23" s="418"/>
      <c r="BN23" s="418"/>
      <c r="BO23" s="418"/>
      <c r="BP23" s="418"/>
      <c r="BQ23" s="418"/>
      <c r="BR23" s="418"/>
      <c r="BS23" s="418"/>
      <c r="BT23" s="418"/>
      <c r="BU23" s="418"/>
      <c r="BV23" s="418"/>
      <c r="BW23" s="418"/>
      <c r="BX23" s="418"/>
      <c r="BY23" s="418"/>
      <c r="BZ23" s="418"/>
    </row>
    <row r="24" spans="1:78" s="403" customFormat="1" ht="25.5" x14ac:dyDescent="0.2">
      <c r="A24" s="397" t="s">
        <v>19</v>
      </c>
      <c r="B24" s="398">
        <v>7010755</v>
      </c>
      <c r="C24" s="399" t="s">
        <v>685</v>
      </c>
      <c r="D24" s="400">
        <v>14.6</v>
      </c>
      <c r="E24" s="401">
        <v>0</v>
      </c>
      <c r="F24" s="400"/>
      <c r="G24" s="401"/>
      <c r="H24" s="400"/>
      <c r="I24" s="401"/>
      <c r="J24" s="399" t="s">
        <v>33</v>
      </c>
      <c r="K24" s="402"/>
      <c r="L24" s="399"/>
      <c r="M24" s="403" t="s">
        <v>447</v>
      </c>
      <c r="N24" s="403" t="s">
        <v>498</v>
      </c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8"/>
      <c r="BM24" s="418"/>
      <c r="BN24" s="418"/>
      <c r="BO24" s="418"/>
      <c r="BP24" s="418"/>
      <c r="BQ24" s="418"/>
      <c r="BR24" s="418"/>
      <c r="BS24" s="418"/>
      <c r="BT24" s="418"/>
      <c r="BU24" s="418"/>
      <c r="BV24" s="418"/>
      <c r="BW24" s="418"/>
      <c r="BX24" s="418"/>
      <c r="BY24" s="418"/>
      <c r="BZ24" s="418"/>
    </row>
    <row r="25" spans="1:78" s="403" customFormat="1" ht="12.75" x14ac:dyDescent="0.2">
      <c r="A25" s="397" t="s">
        <v>115</v>
      </c>
      <c r="B25" s="398">
        <v>9261200</v>
      </c>
      <c r="C25" s="399" t="s">
        <v>685</v>
      </c>
      <c r="D25" s="400">
        <v>139.53</v>
      </c>
      <c r="E25" s="401">
        <v>1471</v>
      </c>
      <c r="F25" s="400"/>
      <c r="G25" s="401"/>
      <c r="H25" s="400"/>
      <c r="I25" s="401"/>
      <c r="J25" s="399" t="s">
        <v>33</v>
      </c>
      <c r="K25" s="402"/>
      <c r="L25" s="399"/>
      <c r="M25" s="403" t="s">
        <v>447</v>
      </c>
      <c r="N25" s="403" t="s">
        <v>486</v>
      </c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M25" s="418"/>
      <c r="AN25" s="418"/>
      <c r="AO25" s="418"/>
      <c r="AP25" s="418"/>
      <c r="AQ25" s="418"/>
      <c r="AR25" s="418"/>
      <c r="AS25" s="418"/>
      <c r="AT25" s="418"/>
      <c r="AU25" s="418"/>
      <c r="AV25" s="418"/>
      <c r="AW25" s="418"/>
      <c r="AX25" s="418"/>
      <c r="AY25" s="418"/>
      <c r="AZ25" s="418"/>
      <c r="BA25" s="418"/>
      <c r="BB25" s="418"/>
      <c r="BC25" s="418"/>
      <c r="BD25" s="418"/>
      <c r="BE25" s="418"/>
      <c r="BF25" s="418"/>
      <c r="BG25" s="418"/>
      <c r="BH25" s="418"/>
      <c r="BI25" s="418"/>
      <c r="BJ25" s="418"/>
      <c r="BK25" s="418"/>
      <c r="BL25" s="418"/>
      <c r="BM25" s="418"/>
      <c r="BN25" s="418"/>
      <c r="BO25" s="418"/>
      <c r="BP25" s="418"/>
      <c r="BQ25" s="418"/>
      <c r="BR25" s="418"/>
      <c r="BS25" s="418"/>
      <c r="BT25" s="418"/>
      <c r="BU25" s="418"/>
      <c r="BV25" s="418"/>
      <c r="BW25" s="418"/>
      <c r="BX25" s="418"/>
      <c r="BY25" s="418"/>
      <c r="BZ25" s="418"/>
    </row>
    <row r="26" spans="1:78" s="403" customFormat="1" ht="12.75" x14ac:dyDescent="0.2">
      <c r="A26" s="397" t="s">
        <v>116</v>
      </c>
      <c r="B26" s="398">
        <v>5105092</v>
      </c>
      <c r="C26" s="399" t="s">
        <v>685</v>
      </c>
      <c r="D26" s="400">
        <v>464.2</v>
      </c>
      <c r="E26" s="401">
        <v>4993</v>
      </c>
      <c r="F26" s="400"/>
      <c r="G26" s="401"/>
      <c r="H26" s="400"/>
      <c r="I26" s="401"/>
      <c r="J26" s="399" t="s">
        <v>33</v>
      </c>
      <c r="K26" s="402"/>
      <c r="L26" s="399"/>
      <c r="M26" s="403" t="s">
        <v>447</v>
      </c>
      <c r="N26" s="403" t="s">
        <v>487</v>
      </c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418"/>
      <c r="AV26" s="418"/>
      <c r="AW26" s="418"/>
      <c r="AX26" s="418"/>
      <c r="AY26" s="418"/>
      <c r="AZ26" s="418"/>
      <c r="BA26" s="418"/>
      <c r="BB26" s="418"/>
      <c r="BC26" s="418"/>
      <c r="BD26" s="418"/>
      <c r="BE26" s="418"/>
      <c r="BF26" s="418"/>
      <c r="BG26" s="418"/>
      <c r="BH26" s="418"/>
      <c r="BI26" s="418"/>
      <c r="BJ26" s="418"/>
      <c r="BK26" s="418"/>
      <c r="BL26" s="418"/>
      <c r="BM26" s="418"/>
      <c r="BN26" s="418"/>
      <c r="BO26" s="418"/>
      <c r="BP26" s="418"/>
      <c r="BQ26" s="418"/>
      <c r="BR26" s="418"/>
      <c r="BS26" s="418"/>
      <c r="BT26" s="418"/>
      <c r="BU26" s="418"/>
      <c r="BV26" s="418"/>
      <c r="BW26" s="418"/>
      <c r="BX26" s="418"/>
      <c r="BY26" s="418"/>
      <c r="BZ26" s="418"/>
    </row>
    <row r="27" spans="1:78" s="403" customFormat="1" ht="12.75" x14ac:dyDescent="0.2">
      <c r="A27" s="397" t="s">
        <v>119</v>
      </c>
      <c r="B27" s="398">
        <v>5074402</v>
      </c>
      <c r="C27" s="399" t="s">
        <v>685</v>
      </c>
      <c r="D27" s="400">
        <v>14.6</v>
      </c>
      <c r="E27" s="401">
        <v>0</v>
      </c>
      <c r="F27" s="400"/>
      <c r="G27" s="401"/>
      <c r="H27" s="400"/>
      <c r="I27" s="401"/>
      <c r="J27" s="399" t="s">
        <v>33</v>
      </c>
      <c r="K27" s="402"/>
      <c r="L27" s="399"/>
      <c r="M27" s="403" t="s">
        <v>447</v>
      </c>
      <c r="N27" s="403" t="s">
        <v>475</v>
      </c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  <c r="AV27" s="418"/>
      <c r="AW27" s="418"/>
      <c r="AX27" s="418"/>
      <c r="AY27" s="418"/>
      <c r="AZ27" s="418"/>
      <c r="BA27" s="418"/>
      <c r="BB27" s="418"/>
      <c r="BC27" s="418"/>
      <c r="BD27" s="418"/>
      <c r="BE27" s="418"/>
      <c r="BF27" s="418"/>
      <c r="BG27" s="418"/>
      <c r="BH27" s="418"/>
      <c r="BI27" s="418"/>
      <c r="BJ27" s="418"/>
      <c r="BK27" s="418"/>
      <c r="BL27" s="418"/>
      <c r="BM27" s="418"/>
      <c r="BN27" s="418"/>
      <c r="BO27" s="418"/>
      <c r="BP27" s="418"/>
      <c r="BQ27" s="418"/>
      <c r="BR27" s="418"/>
      <c r="BS27" s="418"/>
      <c r="BT27" s="418"/>
      <c r="BU27" s="418"/>
      <c r="BV27" s="418"/>
      <c r="BW27" s="418"/>
      <c r="BX27" s="418"/>
      <c r="BY27" s="418"/>
      <c r="BZ27" s="418"/>
    </row>
    <row r="28" spans="1:78" s="403" customFormat="1" ht="12.75" x14ac:dyDescent="0.2">
      <c r="A28" s="397" t="s">
        <v>248</v>
      </c>
      <c r="B28" s="398">
        <v>5264802</v>
      </c>
      <c r="C28" s="399" t="s">
        <v>685</v>
      </c>
      <c r="D28" s="400">
        <v>111.35</v>
      </c>
      <c r="E28" s="401">
        <v>770</v>
      </c>
      <c r="F28" s="400"/>
      <c r="G28" s="401"/>
      <c r="H28" s="400"/>
      <c r="I28" s="401"/>
      <c r="J28" s="399" t="s">
        <v>33</v>
      </c>
      <c r="K28" s="402"/>
      <c r="L28" s="399"/>
      <c r="M28" s="403" t="s">
        <v>447</v>
      </c>
      <c r="N28" s="403" t="s">
        <v>476</v>
      </c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8"/>
      <c r="BX28" s="418"/>
      <c r="BY28" s="418"/>
      <c r="BZ28" s="418"/>
    </row>
    <row r="29" spans="1:78" s="403" customFormat="1" ht="12.75" x14ac:dyDescent="0.2">
      <c r="A29" s="397" t="s">
        <v>264</v>
      </c>
      <c r="B29" s="398">
        <v>8234139</v>
      </c>
      <c r="C29" s="443" t="s">
        <v>685</v>
      </c>
      <c r="D29" s="400">
        <v>18.53</v>
      </c>
      <c r="E29" s="401">
        <v>49</v>
      </c>
      <c r="F29" s="400"/>
      <c r="G29" s="401"/>
      <c r="H29" s="400"/>
      <c r="I29" s="401"/>
      <c r="J29" s="399" t="s">
        <v>33</v>
      </c>
      <c r="K29" s="402"/>
      <c r="L29" s="399"/>
      <c r="M29" s="403" t="s">
        <v>447</v>
      </c>
      <c r="N29" s="403" t="s">
        <v>480</v>
      </c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418"/>
      <c r="AN29" s="418"/>
      <c r="AO29" s="418"/>
      <c r="AP29" s="418"/>
      <c r="AQ29" s="418"/>
      <c r="AR29" s="418"/>
      <c r="AS29" s="418"/>
      <c r="AT29" s="418"/>
      <c r="AU29" s="418"/>
      <c r="AV29" s="418"/>
      <c r="AW29" s="418"/>
      <c r="AX29" s="418"/>
      <c r="AY29" s="418"/>
      <c r="AZ29" s="418"/>
      <c r="BA29" s="418"/>
      <c r="BB29" s="418"/>
      <c r="BC29" s="418"/>
      <c r="BD29" s="418"/>
      <c r="BE29" s="418"/>
      <c r="BF29" s="418"/>
      <c r="BG29" s="418"/>
      <c r="BH29" s="418"/>
      <c r="BI29" s="418"/>
      <c r="BJ29" s="418"/>
      <c r="BK29" s="418"/>
      <c r="BL29" s="418"/>
      <c r="BM29" s="418"/>
      <c r="BN29" s="418"/>
      <c r="BO29" s="418"/>
      <c r="BP29" s="418"/>
      <c r="BQ29" s="418"/>
      <c r="BR29" s="418"/>
      <c r="BS29" s="418"/>
      <c r="BT29" s="418"/>
      <c r="BU29" s="418"/>
      <c r="BV29" s="418"/>
      <c r="BW29" s="418"/>
      <c r="BX29" s="418"/>
      <c r="BY29" s="418"/>
      <c r="BZ29" s="418"/>
    </row>
    <row r="30" spans="1:78" s="403" customFormat="1" ht="12.75" x14ac:dyDescent="0.2">
      <c r="A30" s="397" t="s">
        <v>250</v>
      </c>
      <c r="B30" s="398">
        <v>5074495</v>
      </c>
      <c r="C30" s="399" t="s">
        <v>685</v>
      </c>
      <c r="D30" s="400">
        <v>14.6</v>
      </c>
      <c r="E30" s="401">
        <v>0</v>
      </c>
      <c r="F30" s="400"/>
      <c r="G30" s="401"/>
      <c r="H30" s="400"/>
      <c r="I30" s="401"/>
      <c r="J30" s="399" t="s">
        <v>33</v>
      </c>
      <c r="K30" s="402"/>
      <c r="L30" s="399"/>
      <c r="M30" s="403" t="s">
        <v>447</v>
      </c>
      <c r="N30" s="403" t="s">
        <v>479</v>
      </c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18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418"/>
      <c r="AV30" s="418"/>
      <c r="AW30" s="418"/>
      <c r="AX30" s="418"/>
      <c r="AY30" s="418"/>
      <c r="AZ30" s="418"/>
      <c r="BA30" s="418"/>
      <c r="BB30" s="418"/>
      <c r="BC30" s="418"/>
      <c r="BD30" s="418"/>
      <c r="BE30" s="418"/>
      <c r="BF30" s="418"/>
      <c r="BG30" s="418"/>
      <c r="BH30" s="418"/>
      <c r="BI30" s="418"/>
      <c r="BJ30" s="418"/>
      <c r="BK30" s="418"/>
      <c r="BL30" s="418"/>
      <c r="BM30" s="418"/>
      <c r="BN30" s="418"/>
      <c r="BO30" s="418"/>
      <c r="BP30" s="418"/>
      <c r="BQ30" s="418"/>
      <c r="BR30" s="418"/>
      <c r="BS30" s="418"/>
      <c r="BT30" s="418"/>
      <c r="BU30" s="418"/>
      <c r="BV30" s="418"/>
      <c r="BW30" s="418"/>
      <c r="BX30" s="418"/>
      <c r="BY30" s="418"/>
      <c r="BZ30" s="418"/>
    </row>
    <row r="31" spans="1:78" s="403" customFormat="1" ht="25.5" x14ac:dyDescent="0.2">
      <c r="A31" s="397" t="s">
        <v>123</v>
      </c>
      <c r="B31" s="398">
        <v>5036644</v>
      </c>
      <c r="C31" s="399" t="s">
        <v>688</v>
      </c>
      <c r="D31" s="400">
        <v>178.89</v>
      </c>
      <c r="E31" s="401">
        <v>603</v>
      </c>
      <c r="F31" s="400"/>
      <c r="G31" s="401"/>
      <c r="H31" s="400"/>
      <c r="I31" s="401"/>
      <c r="J31" s="399" t="s">
        <v>33</v>
      </c>
      <c r="K31" s="402"/>
      <c r="L31" s="399"/>
      <c r="M31" s="403" t="s">
        <v>447</v>
      </c>
      <c r="N31" s="403" t="s">
        <v>454</v>
      </c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418"/>
      <c r="AV31" s="418"/>
      <c r="AW31" s="418"/>
      <c r="AX31" s="418"/>
      <c r="AY31" s="418"/>
      <c r="AZ31" s="418"/>
      <c r="BA31" s="418"/>
      <c r="BB31" s="418"/>
      <c r="BC31" s="418"/>
      <c r="BD31" s="418"/>
      <c r="BE31" s="418"/>
      <c r="BF31" s="418"/>
      <c r="BG31" s="418"/>
      <c r="BH31" s="418"/>
      <c r="BI31" s="418"/>
      <c r="BJ31" s="418"/>
      <c r="BK31" s="418"/>
      <c r="BL31" s="418"/>
      <c r="BM31" s="418"/>
      <c r="BN31" s="418"/>
      <c r="BO31" s="418"/>
      <c r="BP31" s="418"/>
      <c r="BQ31" s="418"/>
      <c r="BR31" s="418"/>
      <c r="BS31" s="418"/>
      <c r="BT31" s="418"/>
      <c r="BU31" s="418"/>
      <c r="BV31" s="418"/>
      <c r="BW31" s="418"/>
      <c r="BX31" s="418"/>
      <c r="BY31" s="418"/>
      <c r="BZ31" s="418"/>
    </row>
    <row r="32" spans="1:78" s="403" customFormat="1" ht="25.5" x14ac:dyDescent="0.2">
      <c r="A32" s="397" t="s">
        <v>127</v>
      </c>
      <c r="B32" s="398">
        <v>5020429</v>
      </c>
      <c r="C32" s="399" t="s">
        <v>688</v>
      </c>
      <c r="D32" s="400">
        <v>21.98</v>
      </c>
      <c r="E32" s="401">
        <v>150</v>
      </c>
      <c r="F32" s="400"/>
      <c r="G32" s="401"/>
      <c r="H32" s="400"/>
      <c r="I32" s="401"/>
      <c r="J32" s="399" t="s">
        <v>33</v>
      </c>
      <c r="K32" s="402"/>
      <c r="L32" s="399"/>
      <c r="M32" s="403" t="s">
        <v>447</v>
      </c>
      <c r="N32" s="403" t="s">
        <v>471</v>
      </c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418"/>
      <c r="AZ32" s="418"/>
      <c r="BA32" s="418"/>
      <c r="BB32" s="418"/>
      <c r="BC32" s="418"/>
      <c r="BD32" s="418"/>
      <c r="BE32" s="418"/>
      <c r="BF32" s="418"/>
      <c r="BG32" s="418"/>
      <c r="BH32" s="418"/>
      <c r="BI32" s="418"/>
      <c r="BJ32" s="418"/>
      <c r="BK32" s="418"/>
      <c r="BL32" s="418"/>
      <c r="BM32" s="418"/>
      <c r="BN32" s="418"/>
      <c r="BO32" s="418"/>
      <c r="BP32" s="418"/>
      <c r="BQ32" s="418"/>
      <c r="BR32" s="418"/>
      <c r="BS32" s="418"/>
      <c r="BT32" s="418"/>
      <c r="BU32" s="418"/>
      <c r="BV32" s="418"/>
      <c r="BW32" s="418"/>
      <c r="BX32" s="418"/>
      <c r="BY32" s="418"/>
      <c r="BZ32" s="418"/>
    </row>
    <row r="33" spans="1:78" s="403" customFormat="1" ht="25.5" x14ac:dyDescent="0.2">
      <c r="A33" s="397" t="s">
        <v>125</v>
      </c>
      <c r="B33" s="398">
        <v>6722734</v>
      </c>
      <c r="C33" s="399" t="s">
        <v>688</v>
      </c>
      <c r="D33" s="400">
        <v>205.09</v>
      </c>
      <c r="E33" s="401">
        <v>1012</v>
      </c>
      <c r="F33" s="400"/>
      <c r="G33" s="401"/>
      <c r="H33" s="400"/>
      <c r="I33" s="401"/>
      <c r="J33" s="399" t="s">
        <v>33</v>
      </c>
      <c r="K33" s="402"/>
      <c r="L33" s="399"/>
      <c r="M33" s="403" t="s">
        <v>447</v>
      </c>
      <c r="N33" s="403" t="s">
        <v>455</v>
      </c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418"/>
      <c r="AV33" s="418"/>
      <c r="AW33" s="418"/>
      <c r="AX33" s="418"/>
      <c r="AY33" s="418"/>
      <c r="AZ33" s="418"/>
      <c r="BA33" s="418"/>
      <c r="BB33" s="418"/>
      <c r="BC33" s="418"/>
      <c r="BD33" s="418"/>
      <c r="BE33" s="418"/>
      <c r="BF33" s="418"/>
      <c r="BG33" s="418"/>
      <c r="BH33" s="418"/>
      <c r="BI33" s="418"/>
      <c r="BJ33" s="418"/>
      <c r="BK33" s="418"/>
      <c r="BL33" s="418"/>
      <c r="BM33" s="418"/>
      <c r="BN33" s="418"/>
      <c r="BO33" s="418"/>
      <c r="BP33" s="418"/>
      <c r="BQ33" s="418"/>
      <c r="BR33" s="418"/>
      <c r="BS33" s="418"/>
      <c r="BT33" s="418"/>
      <c r="BU33" s="418"/>
      <c r="BV33" s="418"/>
      <c r="BW33" s="418"/>
      <c r="BX33" s="418"/>
      <c r="BY33" s="418"/>
      <c r="BZ33" s="418"/>
    </row>
    <row r="34" spans="1:78" s="403" customFormat="1" ht="12.75" x14ac:dyDescent="0.2">
      <c r="A34" s="397" t="s">
        <v>126</v>
      </c>
      <c r="B34" s="470">
        <v>5037202</v>
      </c>
      <c r="C34" s="399" t="s">
        <v>688</v>
      </c>
      <c r="D34" s="400">
        <v>160.16999999999999</v>
      </c>
      <c r="E34" s="401">
        <v>1855</v>
      </c>
      <c r="F34" s="400"/>
      <c r="G34" s="401"/>
      <c r="H34" s="400"/>
      <c r="I34" s="401"/>
      <c r="J34" s="399" t="s">
        <v>33</v>
      </c>
      <c r="K34" s="402"/>
      <c r="L34" s="399"/>
      <c r="M34" s="403" t="s">
        <v>447</v>
      </c>
      <c r="N34" s="403" t="s">
        <v>452</v>
      </c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  <c r="BK34" s="418"/>
      <c r="BL34" s="418"/>
      <c r="BM34" s="418"/>
      <c r="BN34" s="418"/>
      <c r="BO34" s="418"/>
      <c r="BP34" s="418"/>
      <c r="BQ34" s="418"/>
      <c r="BR34" s="418"/>
      <c r="BS34" s="418"/>
      <c r="BT34" s="418"/>
      <c r="BU34" s="418"/>
      <c r="BV34" s="418"/>
      <c r="BW34" s="418"/>
      <c r="BX34" s="418"/>
      <c r="BY34" s="418"/>
      <c r="BZ34" s="418"/>
    </row>
    <row r="35" spans="1:78" s="403" customFormat="1" ht="12.75" x14ac:dyDescent="0.2">
      <c r="A35" s="397" t="s">
        <v>128</v>
      </c>
      <c r="B35" s="398">
        <v>5037326</v>
      </c>
      <c r="C35" s="399" t="s">
        <v>688</v>
      </c>
      <c r="D35" s="400">
        <v>39.39</v>
      </c>
      <c r="E35" s="401">
        <v>319</v>
      </c>
      <c r="F35" s="400"/>
      <c r="G35" s="401"/>
      <c r="H35" s="400"/>
      <c r="I35" s="401"/>
      <c r="J35" s="399" t="s">
        <v>33</v>
      </c>
      <c r="K35" s="402"/>
      <c r="L35" s="399"/>
      <c r="M35" s="403" t="s">
        <v>447</v>
      </c>
      <c r="N35" s="403" t="s">
        <v>467</v>
      </c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418"/>
      <c r="BF35" s="418"/>
      <c r="BG35" s="418"/>
      <c r="BH35" s="418"/>
      <c r="BI35" s="418"/>
      <c r="BJ35" s="418"/>
      <c r="BK35" s="418"/>
      <c r="BL35" s="418"/>
      <c r="BM35" s="418"/>
      <c r="BN35" s="418"/>
      <c r="BO35" s="418"/>
      <c r="BP35" s="418"/>
      <c r="BQ35" s="418"/>
      <c r="BR35" s="418"/>
      <c r="BS35" s="418"/>
      <c r="BT35" s="418"/>
      <c r="BU35" s="418"/>
      <c r="BV35" s="418"/>
      <c r="BW35" s="418"/>
      <c r="BX35" s="418"/>
      <c r="BY35" s="418"/>
      <c r="BZ35" s="418"/>
    </row>
    <row r="36" spans="1:78" s="403" customFormat="1" ht="12.75" x14ac:dyDescent="0.2">
      <c r="A36" s="397" t="s">
        <v>37</v>
      </c>
      <c r="B36" s="398">
        <v>5064854</v>
      </c>
      <c r="C36" s="399" t="s">
        <v>688</v>
      </c>
      <c r="D36" s="400">
        <v>691.57</v>
      </c>
      <c r="E36" s="401">
        <v>7560</v>
      </c>
      <c r="F36" s="400"/>
      <c r="G36" s="401"/>
      <c r="H36" s="400"/>
      <c r="I36" s="401"/>
      <c r="J36" s="399" t="s">
        <v>33</v>
      </c>
      <c r="K36" s="402"/>
      <c r="L36" s="399"/>
      <c r="M36" s="403" t="s">
        <v>447</v>
      </c>
      <c r="N36" s="403" t="s">
        <v>448</v>
      </c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418"/>
      <c r="BF36" s="418"/>
      <c r="BG36" s="418"/>
      <c r="BH36" s="418"/>
      <c r="BI36" s="418"/>
      <c r="BJ36" s="418"/>
      <c r="BK36" s="418"/>
      <c r="BL36" s="418"/>
      <c r="BM36" s="418"/>
      <c r="BN36" s="418"/>
      <c r="BO36" s="418"/>
      <c r="BP36" s="418"/>
      <c r="BQ36" s="418"/>
      <c r="BR36" s="418"/>
      <c r="BS36" s="418"/>
      <c r="BT36" s="418"/>
      <c r="BU36" s="418"/>
      <c r="BV36" s="418"/>
      <c r="BW36" s="418"/>
      <c r="BX36" s="418"/>
      <c r="BY36" s="418"/>
      <c r="BZ36" s="418"/>
    </row>
    <row r="37" spans="1:78" s="403" customFormat="1" ht="12.75" x14ac:dyDescent="0.2">
      <c r="A37" s="397" t="s">
        <v>32</v>
      </c>
      <c r="B37" s="398">
        <v>5021826</v>
      </c>
      <c r="C37" s="399" t="s">
        <v>688</v>
      </c>
      <c r="D37" s="400">
        <v>50.06</v>
      </c>
      <c r="E37" s="401">
        <v>442</v>
      </c>
      <c r="F37" s="400"/>
      <c r="G37" s="401"/>
      <c r="H37" s="400"/>
      <c r="I37" s="401"/>
      <c r="J37" s="399" t="s">
        <v>33</v>
      </c>
      <c r="K37" s="402"/>
      <c r="L37" s="399"/>
      <c r="M37" s="403" t="s">
        <v>447</v>
      </c>
      <c r="N37" s="403" t="s">
        <v>491</v>
      </c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418"/>
      <c r="BF37" s="418"/>
      <c r="BG37" s="418"/>
      <c r="BH37" s="418"/>
      <c r="BI37" s="418"/>
      <c r="BJ37" s="418"/>
      <c r="BK37" s="418"/>
      <c r="BL37" s="418"/>
      <c r="BM37" s="418"/>
      <c r="BN37" s="418"/>
      <c r="BO37" s="418"/>
      <c r="BP37" s="418"/>
      <c r="BQ37" s="418"/>
      <c r="BR37" s="418"/>
      <c r="BS37" s="418"/>
      <c r="BT37" s="418"/>
      <c r="BU37" s="418"/>
      <c r="BV37" s="418"/>
      <c r="BW37" s="418"/>
      <c r="BX37" s="418"/>
      <c r="BY37" s="418"/>
      <c r="BZ37" s="418"/>
    </row>
    <row r="38" spans="1:78" s="403" customFormat="1" ht="25.5" x14ac:dyDescent="0.2">
      <c r="A38" s="397" t="s">
        <v>129</v>
      </c>
      <c r="B38" s="398">
        <v>4964784</v>
      </c>
      <c r="C38" s="399" t="s">
        <v>688</v>
      </c>
      <c r="D38" s="400">
        <v>22.42</v>
      </c>
      <c r="E38" s="401">
        <v>150</v>
      </c>
      <c r="F38" s="400"/>
      <c r="G38" s="401"/>
      <c r="H38" s="400"/>
      <c r="I38" s="401"/>
      <c r="J38" s="399" t="s">
        <v>33</v>
      </c>
      <c r="K38" s="402"/>
      <c r="L38" s="399"/>
      <c r="M38" s="403" t="s">
        <v>447</v>
      </c>
      <c r="N38" s="403" t="s">
        <v>453</v>
      </c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18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418"/>
      <c r="BH38" s="418"/>
      <c r="BI38" s="418"/>
      <c r="BJ38" s="418"/>
      <c r="BK38" s="418"/>
      <c r="BL38" s="418"/>
      <c r="BM38" s="418"/>
      <c r="BN38" s="418"/>
      <c r="BO38" s="418"/>
      <c r="BP38" s="418"/>
      <c r="BQ38" s="418"/>
      <c r="BR38" s="418"/>
      <c r="BS38" s="418"/>
      <c r="BT38" s="418"/>
      <c r="BU38" s="418"/>
      <c r="BV38" s="418"/>
      <c r="BW38" s="418"/>
      <c r="BX38" s="418"/>
      <c r="BY38" s="418"/>
      <c r="BZ38" s="418"/>
    </row>
    <row r="39" spans="1:78" s="411" customFormat="1" ht="25.5" x14ac:dyDescent="0.2">
      <c r="A39" s="404" t="s">
        <v>254</v>
      </c>
      <c r="B39" s="405">
        <v>4955887</v>
      </c>
      <c r="C39" s="409" t="s">
        <v>541</v>
      </c>
      <c r="D39" s="407">
        <v>0</v>
      </c>
      <c r="E39" s="408">
        <v>0</v>
      </c>
      <c r="F39" s="407"/>
      <c r="G39" s="408"/>
      <c r="H39" s="407"/>
      <c r="I39" s="408"/>
      <c r="J39" s="409" t="s">
        <v>33</v>
      </c>
      <c r="K39" s="410"/>
      <c r="L39" s="409"/>
      <c r="M39" s="411" t="s">
        <v>447</v>
      </c>
      <c r="N39" s="411" t="s">
        <v>451</v>
      </c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8"/>
      <c r="AO39" s="418"/>
      <c r="AP39" s="418"/>
      <c r="AQ39" s="418"/>
      <c r="AR39" s="418"/>
      <c r="AS39" s="418"/>
      <c r="AT39" s="418"/>
      <c r="AU39" s="418"/>
      <c r="AV39" s="418"/>
      <c r="AW39" s="418"/>
      <c r="AX39" s="418"/>
      <c r="AY39" s="418"/>
      <c r="AZ39" s="418"/>
      <c r="BA39" s="418"/>
      <c r="BB39" s="418"/>
      <c r="BC39" s="418"/>
      <c r="BD39" s="418"/>
      <c r="BE39" s="418"/>
      <c r="BF39" s="418"/>
      <c r="BG39" s="418"/>
      <c r="BH39" s="418"/>
      <c r="BI39" s="418"/>
      <c r="BJ39" s="418"/>
      <c r="BK39" s="418"/>
      <c r="BL39" s="418"/>
      <c r="BM39" s="418"/>
      <c r="BN39" s="418"/>
      <c r="BO39" s="418"/>
      <c r="BP39" s="418"/>
      <c r="BQ39" s="418"/>
      <c r="BR39" s="418"/>
      <c r="BS39" s="418"/>
      <c r="BT39" s="418"/>
      <c r="BU39" s="418"/>
      <c r="BV39" s="418"/>
      <c r="BW39" s="418"/>
      <c r="BX39" s="418"/>
      <c r="BY39" s="418"/>
      <c r="BZ39" s="418"/>
    </row>
    <row r="40" spans="1:78" s="403" customFormat="1" ht="12.75" x14ac:dyDescent="0.2">
      <c r="A40" s="397" t="s">
        <v>64</v>
      </c>
      <c r="B40" s="398">
        <v>4932391</v>
      </c>
      <c r="C40" s="399" t="s">
        <v>686</v>
      </c>
      <c r="D40" s="400">
        <v>334.58</v>
      </c>
      <c r="E40" s="401">
        <v>3058</v>
      </c>
      <c r="F40" s="400"/>
      <c r="G40" s="401"/>
      <c r="H40" s="400"/>
      <c r="I40" s="401"/>
      <c r="J40" s="399" t="s">
        <v>33</v>
      </c>
      <c r="K40" s="402"/>
      <c r="L40" s="399"/>
      <c r="M40" s="403" t="s">
        <v>447</v>
      </c>
      <c r="N40" s="403" t="s">
        <v>470</v>
      </c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8"/>
      <c r="AB40" s="418"/>
      <c r="AC40" s="418"/>
      <c r="AD40" s="418"/>
      <c r="AE40" s="418"/>
      <c r="AF40" s="418"/>
      <c r="AG40" s="418"/>
      <c r="AH40" s="418"/>
      <c r="AI40" s="418"/>
      <c r="AJ40" s="418"/>
      <c r="AK40" s="418"/>
      <c r="AL40" s="418"/>
      <c r="AM40" s="418"/>
      <c r="AN40" s="418"/>
      <c r="AO40" s="418"/>
      <c r="AP40" s="418"/>
      <c r="AQ40" s="418"/>
      <c r="AR40" s="418"/>
      <c r="AS40" s="418"/>
      <c r="AT40" s="418"/>
      <c r="AU40" s="418"/>
      <c r="AV40" s="418"/>
      <c r="AW40" s="418"/>
      <c r="AX40" s="418"/>
      <c r="AY40" s="418"/>
      <c r="AZ40" s="418"/>
      <c r="BA40" s="418"/>
      <c r="BB40" s="418"/>
      <c r="BC40" s="418"/>
      <c r="BD40" s="418"/>
      <c r="BE40" s="418"/>
      <c r="BF40" s="418"/>
      <c r="BG40" s="418"/>
      <c r="BH40" s="418"/>
      <c r="BI40" s="418"/>
      <c r="BJ40" s="418"/>
      <c r="BK40" s="418"/>
      <c r="BL40" s="418"/>
      <c r="BM40" s="418"/>
      <c r="BN40" s="418"/>
      <c r="BO40" s="418"/>
      <c r="BP40" s="418"/>
      <c r="BQ40" s="418"/>
      <c r="BR40" s="418"/>
      <c r="BS40" s="418"/>
      <c r="BT40" s="418"/>
      <c r="BU40" s="418"/>
      <c r="BV40" s="418"/>
      <c r="BW40" s="418"/>
      <c r="BX40" s="418"/>
      <c r="BY40" s="418"/>
      <c r="BZ40" s="418"/>
    </row>
    <row r="41" spans="1:78" s="403" customFormat="1" ht="25.5" x14ac:dyDescent="0.2">
      <c r="A41" s="397" t="s">
        <v>28</v>
      </c>
      <c r="B41" s="398">
        <v>5265050</v>
      </c>
      <c r="C41" s="399" t="s">
        <v>689</v>
      </c>
      <c r="D41" s="400">
        <v>22.42</v>
      </c>
      <c r="E41" s="401">
        <v>150</v>
      </c>
      <c r="F41" s="400"/>
      <c r="G41" s="401"/>
      <c r="H41" s="400"/>
      <c r="I41" s="401"/>
      <c r="J41" s="399" t="s">
        <v>33</v>
      </c>
      <c r="K41" s="402"/>
      <c r="L41" s="399"/>
      <c r="M41" s="403" t="s">
        <v>447</v>
      </c>
      <c r="N41" s="403" t="s">
        <v>494</v>
      </c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  <c r="AA41" s="418"/>
      <c r="AB41" s="418"/>
      <c r="AC41" s="418"/>
      <c r="AD41" s="418"/>
      <c r="AE41" s="418"/>
      <c r="AF41" s="418"/>
      <c r="AG41" s="418"/>
      <c r="AH41" s="418"/>
      <c r="AI41" s="418"/>
      <c r="AJ41" s="418"/>
      <c r="AK41" s="418"/>
      <c r="AL41" s="418"/>
      <c r="AM41" s="418"/>
      <c r="AN41" s="418"/>
      <c r="AO41" s="418"/>
      <c r="AP41" s="418"/>
      <c r="AQ41" s="418"/>
      <c r="AR41" s="418"/>
      <c r="AS41" s="418"/>
      <c r="AT41" s="418"/>
      <c r="AU41" s="418"/>
      <c r="AV41" s="418"/>
      <c r="AW41" s="418"/>
      <c r="AX41" s="418"/>
      <c r="AY41" s="418"/>
      <c r="AZ41" s="418"/>
      <c r="BA41" s="418"/>
      <c r="BB41" s="418"/>
      <c r="BC41" s="418"/>
      <c r="BD41" s="418"/>
      <c r="BE41" s="418"/>
      <c r="BF41" s="418"/>
      <c r="BG41" s="418"/>
      <c r="BH41" s="418"/>
      <c r="BI41" s="418"/>
      <c r="BJ41" s="418"/>
      <c r="BK41" s="418"/>
      <c r="BL41" s="418"/>
      <c r="BM41" s="418"/>
      <c r="BN41" s="418"/>
      <c r="BO41" s="418"/>
      <c r="BP41" s="418"/>
      <c r="BQ41" s="418"/>
      <c r="BR41" s="418"/>
      <c r="BS41" s="418"/>
      <c r="BT41" s="418"/>
      <c r="BU41" s="418"/>
      <c r="BV41" s="418"/>
      <c r="BW41" s="418"/>
      <c r="BX41" s="418"/>
      <c r="BY41" s="418"/>
      <c r="BZ41" s="418"/>
    </row>
    <row r="42" spans="1:78" s="403" customFormat="1" ht="25.5" x14ac:dyDescent="0.2">
      <c r="A42" s="397" t="s">
        <v>29</v>
      </c>
      <c r="B42" s="398">
        <v>5265019</v>
      </c>
      <c r="C42" s="399" t="s">
        <v>689</v>
      </c>
      <c r="D42" s="400">
        <v>15.97</v>
      </c>
      <c r="E42" s="401">
        <v>70</v>
      </c>
      <c r="F42" s="400"/>
      <c r="G42" s="401"/>
      <c r="H42" s="400"/>
      <c r="I42" s="401"/>
      <c r="J42" s="399" t="s">
        <v>33</v>
      </c>
      <c r="K42" s="402"/>
      <c r="L42" s="399"/>
      <c r="M42" s="403" t="s">
        <v>447</v>
      </c>
      <c r="N42" s="403" t="s">
        <v>495</v>
      </c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  <c r="BK42" s="418"/>
      <c r="BL42" s="418"/>
      <c r="BM42" s="418"/>
      <c r="BN42" s="418"/>
      <c r="BO42" s="418"/>
      <c r="BP42" s="418"/>
      <c r="BQ42" s="418"/>
      <c r="BR42" s="418"/>
      <c r="BS42" s="418"/>
      <c r="BT42" s="418"/>
      <c r="BU42" s="418"/>
      <c r="BV42" s="418"/>
      <c r="BW42" s="418"/>
      <c r="BX42" s="418"/>
      <c r="BY42" s="418"/>
      <c r="BZ42" s="418"/>
    </row>
    <row r="43" spans="1:78" s="403" customFormat="1" ht="25.5" x14ac:dyDescent="0.2">
      <c r="A43" s="397" t="s">
        <v>243</v>
      </c>
      <c r="B43" s="398">
        <v>4426005</v>
      </c>
      <c r="C43" s="399" t="s">
        <v>689</v>
      </c>
      <c r="D43" s="400">
        <v>1155.94</v>
      </c>
      <c r="E43" s="401">
        <v>10350</v>
      </c>
      <c r="F43" s="400"/>
      <c r="G43" s="401"/>
      <c r="H43" s="400"/>
      <c r="I43" s="401"/>
      <c r="J43" s="399" t="s">
        <v>33</v>
      </c>
      <c r="K43" s="402"/>
      <c r="L43" s="399"/>
      <c r="M43" s="403" t="s">
        <v>447</v>
      </c>
      <c r="N43" s="403" t="s">
        <v>465</v>
      </c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418"/>
      <c r="AJ43" s="418"/>
      <c r="AK43" s="418"/>
      <c r="AL43" s="418"/>
      <c r="AM43" s="418"/>
      <c r="AN43" s="418"/>
      <c r="AO43" s="418"/>
      <c r="AP43" s="418"/>
      <c r="AQ43" s="418"/>
      <c r="AR43" s="418"/>
      <c r="AS43" s="418"/>
      <c r="AT43" s="418"/>
      <c r="AU43" s="418"/>
      <c r="AV43" s="418"/>
      <c r="AW43" s="418"/>
      <c r="AX43" s="418"/>
      <c r="AY43" s="418"/>
      <c r="AZ43" s="418"/>
      <c r="BA43" s="418"/>
      <c r="BB43" s="418"/>
      <c r="BC43" s="418"/>
      <c r="BD43" s="418"/>
      <c r="BE43" s="418"/>
      <c r="BF43" s="418"/>
      <c r="BG43" s="418"/>
      <c r="BH43" s="418"/>
      <c r="BI43" s="418"/>
      <c r="BJ43" s="418"/>
      <c r="BK43" s="418"/>
      <c r="BL43" s="418"/>
      <c r="BM43" s="418"/>
      <c r="BN43" s="418"/>
      <c r="BO43" s="418"/>
      <c r="BP43" s="418"/>
      <c r="BQ43" s="418"/>
      <c r="BR43" s="418"/>
      <c r="BS43" s="418"/>
      <c r="BT43" s="418"/>
      <c r="BU43" s="418"/>
      <c r="BV43" s="418"/>
      <c r="BW43" s="418"/>
      <c r="BX43" s="418"/>
      <c r="BY43" s="418"/>
      <c r="BZ43" s="418"/>
    </row>
    <row r="44" spans="1:78" s="403" customFormat="1" ht="25.5" x14ac:dyDescent="0.2">
      <c r="A44" s="397" t="s">
        <v>22</v>
      </c>
      <c r="B44" s="398">
        <v>5264554</v>
      </c>
      <c r="C44" s="399" t="s">
        <v>689</v>
      </c>
      <c r="D44" s="400">
        <v>25.51</v>
      </c>
      <c r="E44" s="401">
        <v>140</v>
      </c>
      <c r="F44" s="400"/>
      <c r="G44" s="401"/>
      <c r="H44" s="400"/>
      <c r="I44" s="401"/>
      <c r="J44" s="399" t="s">
        <v>33</v>
      </c>
      <c r="K44" s="402"/>
      <c r="L44" s="399"/>
      <c r="M44" s="403" t="s">
        <v>447</v>
      </c>
      <c r="N44" s="403" t="s">
        <v>466</v>
      </c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8"/>
      <c r="BL44" s="418"/>
      <c r="BM44" s="418"/>
      <c r="BN44" s="418"/>
      <c r="BO44" s="418"/>
      <c r="BP44" s="418"/>
      <c r="BQ44" s="418"/>
      <c r="BR44" s="418"/>
      <c r="BS44" s="418"/>
      <c r="BT44" s="418"/>
      <c r="BU44" s="418"/>
      <c r="BV44" s="418"/>
      <c r="BW44" s="418"/>
      <c r="BX44" s="418"/>
      <c r="BY44" s="418"/>
      <c r="BZ44" s="418"/>
    </row>
    <row r="45" spans="1:78" s="403" customFormat="1" ht="25.5" x14ac:dyDescent="0.2">
      <c r="A45" s="397" t="s">
        <v>241</v>
      </c>
      <c r="B45" s="398">
        <v>4912148</v>
      </c>
      <c r="C45" s="399" t="s">
        <v>689</v>
      </c>
      <c r="D45" s="400">
        <v>298.35000000000002</v>
      </c>
      <c r="E45" s="401">
        <v>1260</v>
      </c>
      <c r="F45" s="400"/>
      <c r="G45" s="401"/>
      <c r="H45" s="400"/>
      <c r="I45" s="401"/>
      <c r="J45" s="399" t="s">
        <v>33</v>
      </c>
      <c r="K45" s="402"/>
      <c r="L45" s="399"/>
      <c r="M45" s="403" t="s">
        <v>447</v>
      </c>
      <c r="N45" s="403" t="s">
        <v>464</v>
      </c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418"/>
      <c r="AN45" s="418"/>
      <c r="AO45" s="418"/>
      <c r="AP45" s="418"/>
      <c r="AQ45" s="418"/>
      <c r="AR45" s="418"/>
      <c r="AS45" s="418"/>
      <c r="AT45" s="418"/>
      <c r="AU45" s="418"/>
      <c r="AV45" s="418"/>
      <c r="AW45" s="418"/>
      <c r="AX45" s="418"/>
      <c r="AY45" s="418"/>
      <c r="AZ45" s="418"/>
      <c r="BA45" s="418"/>
      <c r="BB45" s="418"/>
      <c r="BC45" s="418"/>
      <c r="BD45" s="418"/>
      <c r="BE45" s="418"/>
      <c r="BF45" s="418"/>
      <c r="BG45" s="418"/>
      <c r="BH45" s="418"/>
      <c r="BI45" s="418"/>
      <c r="BJ45" s="418"/>
      <c r="BK45" s="418"/>
      <c r="BL45" s="418"/>
      <c r="BM45" s="418"/>
      <c r="BN45" s="418"/>
      <c r="BO45" s="418"/>
      <c r="BP45" s="418"/>
      <c r="BQ45" s="418"/>
      <c r="BR45" s="418"/>
      <c r="BS45" s="418"/>
      <c r="BT45" s="418"/>
      <c r="BU45" s="418"/>
      <c r="BV45" s="418"/>
      <c r="BW45" s="418"/>
      <c r="BX45" s="418"/>
      <c r="BY45" s="418"/>
      <c r="BZ45" s="418"/>
    </row>
    <row r="46" spans="1:78" s="403" customFormat="1" ht="25.5" x14ac:dyDescent="0.2">
      <c r="A46" s="397" t="s">
        <v>242</v>
      </c>
      <c r="B46" s="398">
        <v>4426036</v>
      </c>
      <c r="C46" s="399" t="s">
        <v>689</v>
      </c>
      <c r="D46" s="400">
        <v>361.48</v>
      </c>
      <c r="E46" s="401">
        <v>2100</v>
      </c>
      <c r="F46" s="400"/>
      <c r="G46" s="401"/>
      <c r="H46" s="400"/>
      <c r="I46" s="401"/>
      <c r="J46" s="399" t="s">
        <v>33</v>
      </c>
      <c r="K46" s="402"/>
      <c r="L46" s="399"/>
      <c r="M46" s="403" t="s">
        <v>447</v>
      </c>
      <c r="N46" s="403" t="s">
        <v>456</v>
      </c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18"/>
      <c r="AY46" s="418"/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18"/>
      <c r="BK46" s="418"/>
      <c r="BL46" s="418"/>
      <c r="BM46" s="418"/>
      <c r="BN46" s="418"/>
      <c r="BO46" s="418"/>
      <c r="BP46" s="418"/>
      <c r="BQ46" s="418"/>
      <c r="BR46" s="418"/>
      <c r="BS46" s="418"/>
      <c r="BT46" s="418"/>
      <c r="BU46" s="418"/>
      <c r="BV46" s="418"/>
      <c r="BW46" s="418"/>
      <c r="BX46" s="418"/>
      <c r="BY46" s="418"/>
      <c r="BZ46" s="418"/>
    </row>
    <row r="47" spans="1:78" s="403" customFormat="1" ht="12.75" x14ac:dyDescent="0.2">
      <c r="A47" s="397" t="s">
        <v>34</v>
      </c>
      <c r="B47" s="398">
        <v>5028615</v>
      </c>
      <c r="C47" s="399" t="s">
        <v>689</v>
      </c>
      <c r="D47" s="400">
        <v>997.62</v>
      </c>
      <c r="E47" s="401">
        <v>9880</v>
      </c>
      <c r="F47" s="400"/>
      <c r="G47" s="401"/>
      <c r="H47" s="400"/>
      <c r="I47" s="401"/>
      <c r="J47" s="399" t="s">
        <v>33</v>
      </c>
      <c r="K47" s="402"/>
      <c r="L47" s="399"/>
      <c r="M47" s="403" t="s">
        <v>447</v>
      </c>
      <c r="N47" s="403" t="s">
        <v>493</v>
      </c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418"/>
      <c r="AV47" s="418"/>
      <c r="AW47" s="418"/>
      <c r="AX47" s="418"/>
      <c r="AY47" s="418"/>
      <c r="AZ47" s="418"/>
      <c r="BA47" s="418"/>
      <c r="BB47" s="418"/>
      <c r="BC47" s="418"/>
      <c r="BD47" s="418"/>
      <c r="BE47" s="418"/>
      <c r="BF47" s="418"/>
      <c r="BG47" s="418"/>
      <c r="BH47" s="418"/>
      <c r="BI47" s="418"/>
      <c r="BJ47" s="418"/>
      <c r="BK47" s="418"/>
      <c r="BL47" s="418"/>
      <c r="BM47" s="418"/>
      <c r="BN47" s="418"/>
      <c r="BO47" s="418"/>
      <c r="BP47" s="418"/>
      <c r="BQ47" s="418"/>
      <c r="BR47" s="418"/>
      <c r="BS47" s="418"/>
      <c r="BT47" s="418"/>
      <c r="BU47" s="418"/>
      <c r="BV47" s="418"/>
      <c r="BW47" s="418"/>
      <c r="BX47" s="418"/>
      <c r="BY47" s="418"/>
      <c r="BZ47" s="418"/>
    </row>
    <row r="48" spans="1:78" s="403" customFormat="1" ht="25.5" x14ac:dyDescent="0.2">
      <c r="A48" s="397" t="s">
        <v>47</v>
      </c>
      <c r="B48" s="398">
        <v>4914628</v>
      </c>
      <c r="C48" s="399" t="s">
        <v>689</v>
      </c>
      <c r="D48" s="400">
        <v>640.08000000000004</v>
      </c>
      <c r="E48" s="401">
        <v>6404</v>
      </c>
      <c r="F48" s="400"/>
      <c r="G48" s="401"/>
      <c r="H48" s="400"/>
      <c r="I48" s="401"/>
      <c r="J48" s="399" t="s">
        <v>33</v>
      </c>
      <c r="K48" s="402"/>
      <c r="L48" s="399"/>
      <c r="M48" s="403" t="s">
        <v>447</v>
      </c>
      <c r="N48" s="403" t="s">
        <v>461</v>
      </c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  <c r="AV48" s="418"/>
      <c r="AW48" s="418"/>
      <c r="AX48" s="418"/>
      <c r="AY48" s="418"/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18"/>
      <c r="BK48" s="418"/>
      <c r="BL48" s="418"/>
      <c r="BM48" s="418"/>
      <c r="BN48" s="418"/>
      <c r="BO48" s="418"/>
      <c r="BP48" s="418"/>
      <c r="BQ48" s="418"/>
      <c r="BR48" s="418"/>
      <c r="BS48" s="418"/>
      <c r="BT48" s="418"/>
      <c r="BU48" s="418"/>
      <c r="BV48" s="418"/>
      <c r="BW48" s="418"/>
      <c r="BX48" s="418"/>
      <c r="BY48" s="418"/>
      <c r="BZ48" s="418"/>
    </row>
    <row r="49" spans="1:78" s="403" customFormat="1" ht="25.5" x14ac:dyDescent="0.2">
      <c r="A49" s="397" t="s">
        <v>46</v>
      </c>
      <c r="B49" s="398">
        <v>5027654</v>
      </c>
      <c r="C49" s="399" t="s">
        <v>689</v>
      </c>
      <c r="D49" s="400">
        <v>313.99</v>
      </c>
      <c r="E49" s="401">
        <v>2918</v>
      </c>
      <c r="F49" s="400"/>
      <c r="G49" s="401"/>
      <c r="H49" s="400"/>
      <c r="I49" s="401"/>
      <c r="J49" s="399" t="s">
        <v>33</v>
      </c>
      <c r="K49" s="402"/>
      <c r="L49" s="399"/>
      <c r="M49" s="403" t="s">
        <v>447</v>
      </c>
      <c r="N49" s="403" t="s">
        <v>463</v>
      </c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418"/>
      <c r="BV49" s="418"/>
      <c r="BW49" s="418"/>
      <c r="BX49" s="418"/>
      <c r="BY49" s="418"/>
      <c r="BZ49" s="418"/>
    </row>
    <row r="50" spans="1:78" s="403" customFormat="1" ht="29.25" customHeight="1" x14ac:dyDescent="0.2">
      <c r="A50" s="397" t="s">
        <v>585</v>
      </c>
      <c r="B50" s="398">
        <v>5262911</v>
      </c>
      <c r="C50" s="399" t="s">
        <v>689</v>
      </c>
      <c r="D50" s="400">
        <v>15.97</v>
      </c>
      <c r="E50" s="401">
        <v>70</v>
      </c>
      <c r="F50" s="400"/>
      <c r="G50" s="401"/>
      <c r="H50" s="400"/>
      <c r="I50" s="401"/>
      <c r="J50" s="399" t="s">
        <v>33</v>
      </c>
      <c r="K50" s="402"/>
      <c r="L50" s="399"/>
      <c r="M50" s="403" t="s">
        <v>447</v>
      </c>
      <c r="N50" s="403" t="s">
        <v>459</v>
      </c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18"/>
      <c r="AP50" s="418"/>
      <c r="AQ50" s="418"/>
      <c r="AR50" s="418"/>
      <c r="AS50" s="418"/>
      <c r="AT50" s="418"/>
      <c r="AU50" s="418"/>
      <c r="AV50" s="418"/>
      <c r="AW50" s="418"/>
      <c r="AX50" s="418"/>
      <c r="AY50" s="418"/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18"/>
      <c r="BK50" s="418"/>
      <c r="BL50" s="418"/>
      <c r="BM50" s="418"/>
      <c r="BN50" s="418"/>
      <c r="BO50" s="418"/>
      <c r="BP50" s="418"/>
      <c r="BQ50" s="418"/>
      <c r="BR50" s="418"/>
      <c r="BS50" s="418"/>
      <c r="BT50" s="418"/>
      <c r="BU50" s="418"/>
      <c r="BV50" s="418"/>
      <c r="BW50" s="418"/>
      <c r="BX50" s="418"/>
      <c r="BY50" s="418"/>
      <c r="BZ50" s="418"/>
    </row>
    <row r="51" spans="1:78" s="403" customFormat="1" ht="25.5" x14ac:dyDescent="0.2">
      <c r="A51" s="397" t="s">
        <v>244</v>
      </c>
      <c r="B51" s="398">
        <v>8184322</v>
      </c>
      <c r="C51" s="399" t="s">
        <v>689</v>
      </c>
      <c r="D51" s="400">
        <v>660.74</v>
      </c>
      <c r="E51" s="401">
        <v>3840</v>
      </c>
      <c r="F51" s="400"/>
      <c r="G51" s="401"/>
      <c r="H51" s="400"/>
      <c r="I51" s="401"/>
      <c r="J51" s="399" t="s">
        <v>33</v>
      </c>
      <c r="K51" s="402"/>
      <c r="L51" s="399"/>
      <c r="M51" s="403" t="s">
        <v>447</v>
      </c>
      <c r="N51" s="403" t="s">
        <v>460</v>
      </c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18"/>
      <c r="AP51" s="418"/>
      <c r="AQ51" s="418"/>
      <c r="AR51" s="418"/>
      <c r="AS51" s="418"/>
      <c r="AT51" s="418"/>
      <c r="AU51" s="418"/>
      <c r="AV51" s="418"/>
      <c r="AW51" s="418"/>
      <c r="AX51" s="418"/>
      <c r="AY51" s="418"/>
      <c r="AZ51" s="418"/>
      <c r="BA51" s="418"/>
      <c r="BB51" s="418"/>
      <c r="BC51" s="418"/>
      <c r="BD51" s="418"/>
      <c r="BE51" s="418"/>
      <c r="BF51" s="418"/>
      <c r="BG51" s="418"/>
      <c r="BH51" s="418"/>
      <c r="BI51" s="418"/>
      <c r="BJ51" s="418"/>
      <c r="BK51" s="418"/>
      <c r="BL51" s="418"/>
      <c r="BM51" s="418"/>
      <c r="BN51" s="418"/>
      <c r="BO51" s="418"/>
      <c r="BP51" s="418"/>
      <c r="BQ51" s="418"/>
      <c r="BR51" s="418"/>
      <c r="BS51" s="418"/>
      <c r="BT51" s="418"/>
      <c r="BU51" s="418"/>
      <c r="BV51" s="418"/>
      <c r="BW51" s="418"/>
      <c r="BX51" s="418"/>
      <c r="BY51" s="418"/>
      <c r="BZ51" s="418"/>
    </row>
    <row r="52" spans="1:78" s="403" customFormat="1" ht="12.75" x14ac:dyDescent="0.2">
      <c r="A52" s="397" t="s">
        <v>38</v>
      </c>
      <c r="B52" s="398">
        <v>5231911</v>
      </c>
      <c r="C52" s="399" t="s">
        <v>689</v>
      </c>
      <c r="D52" s="400">
        <v>22.42</v>
      </c>
      <c r="E52" s="401">
        <v>150</v>
      </c>
      <c r="F52" s="400"/>
      <c r="G52" s="401"/>
      <c r="H52" s="400"/>
      <c r="I52" s="401"/>
      <c r="J52" s="399" t="s">
        <v>33</v>
      </c>
      <c r="K52" s="402"/>
      <c r="L52" s="399"/>
      <c r="M52" s="403" t="s">
        <v>447</v>
      </c>
      <c r="N52" s="403" t="s">
        <v>497</v>
      </c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  <c r="AA52" s="418"/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18"/>
      <c r="AP52" s="418"/>
      <c r="AQ52" s="418"/>
      <c r="AR52" s="418"/>
      <c r="AS52" s="418"/>
      <c r="AT52" s="418"/>
      <c r="AU52" s="418"/>
      <c r="AV52" s="418"/>
      <c r="AW52" s="418"/>
      <c r="AX52" s="418"/>
      <c r="AY52" s="418"/>
      <c r="AZ52" s="418"/>
      <c r="BA52" s="418"/>
      <c r="BB52" s="418"/>
      <c r="BC52" s="418"/>
      <c r="BD52" s="418"/>
      <c r="BE52" s="418"/>
      <c r="BF52" s="418"/>
      <c r="BG52" s="418"/>
      <c r="BH52" s="418"/>
      <c r="BI52" s="418"/>
      <c r="BJ52" s="418"/>
      <c r="BK52" s="418"/>
      <c r="BL52" s="418"/>
      <c r="BM52" s="418"/>
      <c r="BN52" s="418"/>
      <c r="BO52" s="418"/>
      <c r="BP52" s="418"/>
      <c r="BQ52" s="418"/>
      <c r="BR52" s="418"/>
      <c r="BS52" s="418"/>
      <c r="BT52" s="418"/>
      <c r="BU52" s="418"/>
      <c r="BV52" s="418"/>
      <c r="BW52" s="418"/>
      <c r="BX52" s="418"/>
      <c r="BY52" s="418"/>
      <c r="BZ52" s="418"/>
    </row>
    <row r="53" spans="1:78" s="403" customFormat="1" ht="25.5" x14ac:dyDescent="0.2">
      <c r="A53" s="397" t="s">
        <v>17</v>
      </c>
      <c r="B53" s="398">
        <v>8934894</v>
      </c>
      <c r="C53" s="399" t="s">
        <v>689</v>
      </c>
      <c r="D53" s="400">
        <v>14.6</v>
      </c>
      <c r="E53" s="401">
        <v>0</v>
      </c>
      <c r="F53" s="400"/>
      <c r="G53" s="401"/>
      <c r="H53" s="400"/>
      <c r="I53" s="401"/>
      <c r="J53" s="399" t="s">
        <v>33</v>
      </c>
      <c r="K53" s="402"/>
      <c r="L53" s="399"/>
      <c r="M53" s="403" t="s">
        <v>447</v>
      </c>
      <c r="N53" s="403" t="s">
        <v>458</v>
      </c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18"/>
      <c r="AP53" s="418"/>
      <c r="AQ53" s="418"/>
      <c r="AR53" s="418"/>
      <c r="AS53" s="418"/>
      <c r="AT53" s="418"/>
      <c r="AU53" s="418"/>
      <c r="AV53" s="418"/>
      <c r="AW53" s="418"/>
      <c r="AX53" s="418"/>
      <c r="AY53" s="418"/>
      <c r="AZ53" s="418"/>
      <c r="BA53" s="418"/>
      <c r="BB53" s="418"/>
      <c r="BC53" s="418"/>
      <c r="BD53" s="418"/>
      <c r="BE53" s="418"/>
      <c r="BF53" s="418"/>
      <c r="BG53" s="418"/>
      <c r="BH53" s="418"/>
      <c r="BI53" s="418"/>
      <c r="BJ53" s="418"/>
      <c r="BK53" s="418"/>
      <c r="BL53" s="418"/>
      <c r="BM53" s="418"/>
      <c r="BN53" s="418"/>
      <c r="BO53" s="418"/>
      <c r="BP53" s="418"/>
      <c r="BQ53" s="418"/>
      <c r="BR53" s="418"/>
      <c r="BS53" s="418"/>
      <c r="BT53" s="418"/>
      <c r="BU53" s="418"/>
      <c r="BV53" s="418"/>
      <c r="BW53" s="418"/>
      <c r="BX53" s="418"/>
      <c r="BY53" s="418"/>
      <c r="BZ53" s="418"/>
    </row>
    <row r="54" spans="1:78" s="396" customFormat="1" ht="12.75" x14ac:dyDescent="0.2">
      <c r="A54" s="390" t="s">
        <v>240</v>
      </c>
      <c r="B54" s="391">
        <v>5031405</v>
      </c>
      <c r="C54" s="392" t="s">
        <v>689</v>
      </c>
      <c r="D54" s="393">
        <v>1495.89</v>
      </c>
      <c r="E54" s="394">
        <v>16020</v>
      </c>
      <c r="F54" s="393"/>
      <c r="G54" s="394"/>
      <c r="H54" s="393"/>
      <c r="I54" s="394"/>
      <c r="J54" s="392" t="s">
        <v>33</v>
      </c>
      <c r="K54" s="395"/>
      <c r="L54" s="392"/>
      <c r="M54" s="396" t="s">
        <v>447</v>
      </c>
      <c r="N54" s="396" t="s">
        <v>457</v>
      </c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  <c r="BB54" s="478"/>
      <c r="BC54" s="478"/>
      <c r="BD54" s="478"/>
      <c r="BE54" s="478"/>
      <c r="BF54" s="478"/>
      <c r="BG54" s="478"/>
      <c r="BH54" s="478"/>
      <c r="BI54" s="478"/>
      <c r="BJ54" s="478"/>
      <c r="BK54" s="478"/>
      <c r="BL54" s="478"/>
      <c r="BM54" s="478"/>
      <c r="BN54" s="478"/>
      <c r="BO54" s="478"/>
      <c r="BP54" s="478"/>
      <c r="BQ54" s="478"/>
      <c r="BR54" s="478"/>
      <c r="BS54" s="478"/>
      <c r="BT54" s="478"/>
      <c r="BU54" s="478"/>
      <c r="BV54" s="478"/>
      <c r="BW54" s="478"/>
      <c r="BX54" s="478"/>
      <c r="BY54" s="478"/>
      <c r="BZ54" s="478"/>
    </row>
    <row r="55" spans="1:78" s="403" customFormat="1" ht="25.5" x14ac:dyDescent="0.2">
      <c r="A55" s="397" t="s">
        <v>26</v>
      </c>
      <c r="B55" s="398">
        <v>149091</v>
      </c>
      <c r="C55" s="399" t="s">
        <v>689</v>
      </c>
      <c r="D55" s="400">
        <v>18.72</v>
      </c>
      <c r="E55" s="401">
        <v>80</v>
      </c>
      <c r="F55" s="400"/>
      <c r="G55" s="401"/>
      <c r="H55" s="400"/>
      <c r="I55" s="401"/>
      <c r="J55" s="399" t="s">
        <v>33</v>
      </c>
      <c r="K55" s="402"/>
      <c r="L55" s="399"/>
      <c r="M55" s="403" t="s">
        <v>447</v>
      </c>
      <c r="N55" s="403" t="s">
        <v>496</v>
      </c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418"/>
      <c r="AV55" s="418"/>
      <c r="AW55" s="418"/>
      <c r="AX55" s="418"/>
      <c r="AY55" s="418"/>
      <c r="AZ55" s="418"/>
      <c r="BA55" s="418"/>
      <c r="BB55" s="418"/>
      <c r="BC55" s="418"/>
      <c r="BD55" s="418"/>
      <c r="BE55" s="418"/>
      <c r="BF55" s="418"/>
      <c r="BG55" s="418"/>
      <c r="BH55" s="418"/>
      <c r="BI55" s="418"/>
      <c r="BJ55" s="418"/>
      <c r="BK55" s="418"/>
      <c r="BL55" s="418"/>
      <c r="BM55" s="418"/>
      <c r="BN55" s="418"/>
      <c r="BO55" s="418"/>
      <c r="BP55" s="418"/>
      <c r="BQ55" s="418"/>
      <c r="BR55" s="418"/>
      <c r="BS55" s="418"/>
      <c r="BT55" s="418"/>
      <c r="BU55" s="418"/>
      <c r="BV55" s="418"/>
      <c r="BW55" s="418"/>
      <c r="BX55" s="418"/>
      <c r="BY55" s="418"/>
      <c r="BZ55" s="418"/>
    </row>
    <row r="56" spans="1:78" s="403" customFormat="1" ht="25.5" x14ac:dyDescent="0.2">
      <c r="A56" s="397" t="s">
        <v>30</v>
      </c>
      <c r="B56" s="398">
        <v>4914473</v>
      </c>
      <c r="C56" s="399" t="s">
        <v>689</v>
      </c>
      <c r="D56" s="400">
        <v>1363.17</v>
      </c>
      <c r="E56" s="401">
        <v>17400</v>
      </c>
      <c r="F56" s="400"/>
      <c r="G56" s="401"/>
      <c r="H56" s="400"/>
      <c r="I56" s="401"/>
      <c r="J56" s="399" t="s">
        <v>33</v>
      </c>
      <c r="K56" s="402"/>
      <c r="L56" s="399"/>
      <c r="M56" s="403" t="s">
        <v>447</v>
      </c>
      <c r="N56" s="403" t="s">
        <v>492</v>
      </c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418"/>
      <c r="AS56" s="418"/>
      <c r="AT56" s="418"/>
      <c r="AU56" s="418"/>
      <c r="AV56" s="418"/>
      <c r="AW56" s="418"/>
      <c r="AX56" s="418"/>
      <c r="AY56" s="418"/>
      <c r="AZ56" s="418"/>
      <c r="BA56" s="418"/>
      <c r="BB56" s="418"/>
      <c r="BC56" s="418"/>
      <c r="BD56" s="418"/>
      <c r="BE56" s="418"/>
      <c r="BF56" s="418"/>
      <c r="BG56" s="418"/>
      <c r="BH56" s="418"/>
      <c r="BI56" s="418"/>
      <c r="BJ56" s="418"/>
      <c r="BK56" s="418"/>
      <c r="BL56" s="418"/>
      <c r="BM56" s="418"/>
      <c r="BN56" s="418"/>
      <c r="BO56" s="418"/>
      <c r="BP56" s="418"/>
      <c r="BQ56" s="418"/>
      <c r="BR56" s="418"/>
      <c r="BS56" s="418"/>
      <c r="BT56" s="418"/>
      <c r="BU56" s="418"/>
      <c r="BV56" s="418"/>
      <c r="BW56" s="418"/>
      <c r="BX56" s="418"/>
      <c r="BY56" s="418"/>
      <c r="BZ56" s="418"/>
    </row>
    <row r="57" spans="1:78" s="403" customFormat="1" ht="25.5" x14ac:dyDescent="0.2">
      <c r="A57" s="397" t="s">
        <v>244</v>
      </c>
      <c r="B57" s="398">
        <v>117936</v>
      </c>
      <c r="C57" s="399" t="s">
        <v>689</v>
      </c>
      <c r="D57" s="400">
        <v>134.78</v>
      </c>
      <c r="E57" s="401">
        <v>440</v>
      </c>
      <c r="F57" s="400"/>
      <c r="G57" s="401"/>
      <c r="H57" s="400"/>
      <c r="I57" s="401"/>
      <c r="J57" s="399" t="s">
        <v>33</v>
      </c>
      <c r="K57" s="402"/>
      <c r="L57" s="399"/>
      <c r="M57" s="403" t="s">
        <v>447</v>
      </c>
      <c r="N57" s="403" t="s">
        <v>462</v>
      </c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418"/>
      <c r="AV57" s="418"/>
      <c r="AW57" s="418"/>
      <c r="AX57" s="418"/>
      <c r="AY57" s="418"/>
      <c r="AZ57" s="418"/>
      <c r="BA57" s="418"/>
      <c r="BB57" s="418"/>
      <c r="BC57" s="418"/>
      <c r="BD57" s="418"/>
      <c r="BE57" s="418"/>
      <c r="BF57" s="418"/>
      <c r="BG57" s="418"/>
      <c r="BH57" s="418"/>
      <c r="BI57" s="418"/>
      <c r="BJ57" s="418"/>
      <c r="BK57" s="418"/>
      <c r="BL57" s="418"/>
      <c r="BM57" s="418"/>
      <c r="BN57" s="418"/>
      <c r="BO57" s="418"/>
      <c r="BP57" s="418"/>
      <c r="BQ57" s="418"/>
      <c r="BR57" s="418"/>
      <c r="BS57" s="418"/>
      <c r="BT57" s="418"/>
      <c r="BU57" s="418"/>
      <c r="BV57" s="418"/>
      <c r="BW57" s="418"/>
      <c r="BX57" s="418"/>
      <c r="BY57" s="418"/>
      <c r="BZ57" s="418"/>
    </row>
    <row r="58" spans="1:78" s="403" customFormat="1" ht="25.5" x14ac:dyDescent="0.2">
      <c r="A58" s="397" t="s">
        <v>153</v>
      </c>
      <c r="B58" s="398">
        <v>8327232</v>
      </c>
      <c r="C58" s="399" t="s">
        <v>686</v>
      </c>
      <c r="D58" s="400">
        <v>38.74</v>
      </c>
      <c r="E58" s="401">
        <v>0</v>
      </c>
      <c r="F58" s="400"/>
      <c r="G58" s="401"/>
      <c r="H58" s="400"/>
      <c r="I58" s="401"/>
      <c r="J58" s="399" t="s">
        <v>33</v>
      </c>
      <c r="K58" s="402"/>
      <c r="L58" s="399"/>
      <c r="M58" s="403" t="s">
        <v>447</v>
      </c>
      <c r="N58" s="403" t="s">
        <v>472</v>
      </c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18"/>
      <c r="AP58" s="418"/>
      <c r="AQ58" s="418"/>
      <c r="AR58" s="418"/>
      <c r="AS58" s="418"/>
      <c r="AT58" s="418"/>
      <c r="AU58" s="418"/>
      <c r="AV58" s="418"/>
      <c r="AW58" s="418"/>
      <c r="AX58" s="418"/>
      <c r="AY58" s="418"/>
      <c r="AZ58" s="418"/>
      <c r="BA58" s="418"/>
      <c r="BB58" s="418"/>
      <c r="BC58" s="418"/>
      <c r="BD58" s="418"/>
      <c r="BE58" s="418"/>
      <c r="BF58" s="418"/>
      <c r="BG58" s="418"/>
      <c r="BH58" s="418"/>
      <c r="BI58" s="418"/>
      <c r="BJ58" s="418"/>
      <c r="BK58" s="418"/>
      <c r="BL58" s="418"/>
      <c r="BM58" s="418"/>
      <c r="BN58" s="418"/>
      <c r="BO58" s="418"/>
      <c r="BP58" s="418"/>
      <c r="BQ58" s="418"/>
      <c r="BR58" s="418"/>
      <c r="BS58" s="418"/>
      <c r="BT58" s="418"/>
      <c r="BU58" s="418"/>
      <c r="BV58" s="418"/>
      <c r="BW58" s="418"/>
      <c r="BX58" s="418"/>
      <c r="BY58" s="418"/>
      <c r="BZ58" s="418"/>
    </row>
    <row r="59" spans="1:78" s="411" customFormat="1" ht="25.5" x14ac:dyDescent="0.2">
      <c r="A59" s="404" t="s">
        <v>255</v>
      </c>
      <c r="B59" s="405">
        <v>6973803</v>
      </c>
      <c r="C59" s="409" t="s">
        <v>561</v>
      </c>
      <c r="D59" s="407">
        <v>0</v>
      </c>
      <c r="E59" s="408">
        <v>0</v>
      </c>
      <c r="F59" s="407"/>
      <c r="G59" s="408"/>
      <c r="H59" s="407"/>
      <c r="I59" s="408"/>
      <c r="J59" s="409" t="s">
        <v>33</v>
      </c>
      <c r="K59" s="410"/>
      <c r="L59" s="409"/>
      <c r="M59" s="411" t="s">
        <v>447</v>
      </c>
      <c r="N59" s="411" t="s">
        <v>450</v>
      </c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18"/>
      <c r="AP59" s="418"/>
      <c r="AQ59" s="418"/>
      <c r="AR59" s="418"/>
      <c r="AS59" s="418"/>
      <c r="AT59" s="418"/>
      <c r="AU59" s="418"/>
      <c r="AV59" s="418"/>
      <c r="AW59" s="418"/>
      <c r="AX59" s="418"/>
      <c r="AY59" s="418"/>
      <c r="AZ59" s="418"/>
      <c r="BA59" s="418"/>
      <c r="BB59" s="418"/>
      <c r="BC59" s="418"/>
      <c r="BD59" s="418"/>
      <c r="BE59" s="418"/>
      <c r="BF59" s="418"/>
      <c r="BG59" s="418"/>
      <c r="BH59" s="418"/>
      <c r="BI59" s="418"/>
      <c r="BJ59" s="418"/>
      <c r="BK59" s="418"/>
      <c r="BL59" s="418"/>
      <c r="BM59" s="418"/>
      <c r="BN59" s="418"/>
      <c r="BO59" s="418"/>
      <c r="BP59" s="418"/>
      <c r="BQ59" s="418"/>
      <c r="BR59" s="418"/>
      <c r="BS59" s="418"/>
      <c r="BT59" s="418"/>
      <c r="BU59" s="418"/>
      <c r="BV59" s="418"/>
      <c r="BW59" s="418"/>
      <c r="BX59" s="418"/>
      <c r="BY59" s="418"/>
      <c r="BZ59" s="418"/>
    </row>
    <row r="60" spans="1:78" s="403" customFormat="1" ht="25.5" x14ac:dyDescent="0.2">
      <c r="A60" s="397" t="s">
        <v>150</v>
      </c>
      <c r="B60" s="398">
        <v>7480591</v>
      </c>
      <c r="C60" s="399" t="s">
        <v>686</v>
      </c>
      <c r="D60" s="400">
        <v>710.39</v>
      </c>
      <c r="E60" s="401">
        <v>8792</v>
      </c>
      <c r="F60" s="400"/>
      <c r="G60" s="401"/>
      <c r="H60" s="400"/>
      <c r="I60" s="401"/>
      <c r="J60" s="399" t="s">
        <v>33</v>
      </c>
      <c r="K60" s="402"/>
      <c r="L60" s="399"/>
      <c r="M60" s="403" t="s">
        <v>447</v>
      </c>
      <c r="N60" s="403" t="s">
        <v>468</v>
      </c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  <c r="AV60" s="418"/>
      <c r="AW60" s="418"/>
      <c r="AX60" s="418"/>
      <c r="AY60" s="418"/>
      <c r="AZ60" s="418"/>
      <c r="BA60" s="418"/>
      <c r="BB60" s="418"/>
      <c r="BC60" s="418"/>
      <c r="BD60" s="418"/>
      <c r="BE60" s="418"/>
      <c r="BF60" s="418"/>
      <c r="BG60" s="418"/>
      <c r="BH60" s="418"/>
      <c r="BI60" s="418"/>
      <c r="BJ60" s="418"/>
      <c r="BK60" s="418"/>
      <c r="BL60" s="418"/>
      <c r="BM60" s="418"/>
      <c r="BN60" s="418"/>
      <c r="BO60" s="418"/>
      <c r="BP60" s="418"/>
      <c r="BQ60" s="418"/>
      <c r="BR60" s="418"/>
      <c r="BS60" s="418"/>
      <c r="BT60" s="418"/>
      <c r="BU60" s="418"/>
      <c r="BV60" s="418"/>
      <c r="BW60" s="418"/>
      <c r="BX60" s="418"/>
      <c r="BY60" s="418"/>
      <c r="BZ60" s="418"/>
    </row>
    <row r="61" spans="1:78" s="411" customFormat="1" ht="12.75" x14ac:dyDescent="0.2">
      <c r="A61" s="404" t="s">
        <v>253</v>
      </c>
      <c r="B61" s="405">
        <v>4934809</v>
      </c>
      <c r="C61" s="409" t="s">
        <v>561</v>
      </c>
      <c r="D61" s="407">
        <v>0</v>
      </c>
      <c r="E61" s="408">
        <v>0</v>
      </c>
      <c r="F61" s="407"/>
      <c r="G61" s="408"/>
      <c r="H61" s="407"/>
      <c r="I61" s="408"/>
      <c r="J61" s="409" t="s">
        <v>33</v>
      </c>
      <c r="K61" s="410"/>
      <c r="L61" s="409"/>
      <c r="M61" s="411" t="s">
        <v>447</v>
      </c>
      <c r="N61" s="411" t="s">
        <v>449</v>
      </c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  <c r="AG61" s="418"/>
      <c r="AH61" s="418"/>
      <c r="AI61" s="418"/>
      <c r="AJ61" s="418"/>
      <c r="AK61" s="418"/>
      <c r="AL61" s="418"/>
      <c r="AM61" s="418"/>
      <c r="AN61" s="418"/>
      <c r="AO61" s="418"/>
      <c r="AP61" s="418"/>
      <c r="AQ61" s="418"/>
      <c r="AR61" s="418"/>
      <c r="AS61" s="418"/>
      <c r="AT61" s="418"/>
      <c r="AU61" s="418"/>
      <c r="AV61" s="418"/>
      <c r="AW61" s="418"/>
      <c r="AX61" s="418"/>
      <c r="AY61" s="418"/>
      <c r="AZ61" s="418"/>
      <c r="BA61" s="418"/>
      <c r="BB61" s="418"/>
      <c r="BC61" s="418"/>
      <c r="BD61" s="418"/>
      <c r="BE61" s="418"/>
      <c r="BF61" s="418"/>
      <c r="BG61" s="418"/>
      <c r="BH61" s="418"/>
      <c r="BI61" s="418"/>
      <c r="BJ61" s="418"/>
      <c r="BK61" s="418"/>
      <c r="BL61" s="418"/>
      <c r="BM61" s="418"/>
      <c r="BN61" s="418"/>
      <c r="BO61" s="418"/>
      <c r="BP61" s="418"/>
      <c r="BQ61" s="418"/>
      <c r="BR61" s="418"/>
      <c r="BS61" s="418"/>
      <c r="BT61" s="418"/>
      <c r="BU61" s="418"/>
      <c r="BV61" s="418"/>
      <c r="BW61" s="418"/>
      <c r="BX61" s="418"/>
      <c r="BY61" s="418"/>
      <c r="BZ61" s="418"/>
    </row>
    <row r="62" spans="1:78" s="403" customFormat="1" ht="25.5" x14ac:dyDescent="0.2">
      <c r="A62" s="397" t="s">
        <v>152</v>
      </c>
      <c r="B62" s="398">
        <v>9498071</v>
      </c>
      <c r="C62" s="399" t="s">
        <v>686</v>
      </c>
      <c r="D62" s="400">
        <v>350.98</v>
      </c>
      <c r="E62" s="401">
        <v>1680</v>
      </c>
      <c r="F62" s="400"/>
      <c r="G62" s="401"/>
      <c r="H62" s="400"/>
      <c r="I62" s="401"/>
      <c r="J62" s="399" t="s">
        <v>33</v>
      </c>
      <c r="K62" s="402"/>
      <c r="L62" s="399"/>
      <c r="M62" s="403" t="s">
        <v>447</v>
      </c>
      <c r="N62" s="403" t="s">
        <v>469</v>
      </c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  <c r="AA62" s="418"/>
      <c r="AB62" s="418"/>
      <c r="AC62" s="418"/>
      <c r="AD62" s="418"/>
      <c r="AE62" s="418"/>
      <c r="AF62" s="418"/>
      <c r="AG62" s="418"/>
      <c r="AH62" s="418"/>
      <c r="AI62" s="418"/>
      <c r="AJ62" s="418"/>
      <c r="AK62" s="418"/>
      <c r="AL62" s="418"/>
      <c r="AM62" s="418"/>
      <c r="AN62" s="418"/>
      <c r="AO62" s="418"/>
      <c r="AP62" s="418"/>
      <c r="AQ62" s="418"/>
      <c r="AR62" s="418"/>
      <c r="AS62" s="418"/>
      <c r="AT62" s="418"/>
      <c r="AU62" s="418"/>
      <c r="AV62" s="418"/>
      <c r="AW62" s="418"/>
      <c r="AX62" s="418"/>
      <c r="AY62" s="418"/>
      <c r="AZ62" s="418"/>
      <c r="BA62" s="418"/>
      <c r="BB62" s="418"/>
      <c r="BC62" s="418"/>
      <c r="BD62" s="418"/>
      <c r="BE62" s="418"/>
      <c r="BF62" s="418"/>
      <c r="BG62" s="418"/>
      <c r="BH62" s="418"/>
      <c r="BI62" s="418"/>
      <c r="BJ62" s="418"/>
      <c r="BK62" s="418"/>
      <c r="BL62" s="418"/>
      <c r="BM62" s="418"/>
      <c r="BN62" s="418"/>
      <c r="BO62" s="418"/>
      <c r="BP62" s="418"/>
      <c r="BQ62" s="418"/>
      <c r="BR62" s="418"/>
      <c r="BS62" s="418"/>
      <c r="BT62" s="418"/>
      <c r="BU62" s="418"/>
      <c r="BV62" s="418"/>
      <c r="BW62" s="418"/>
      <c r="BX62" s="418"/>
      <c r="BY62" s="418"/>
      <c r="BZ62" s="418"/>
    </row>
    <row r="63" spans="1:78" s="403" customFormat="1" ht="25.5" x14ac:dyDescent="0.2">
      <c r="A63" s="397" t="s">
        <v>245</v>
      </c>
      <c r="B63" s="398">
        <v>4962800</v>
      </c>
      <c r="C63" s="399" t="s">
        <v>686</v>
      </c>
      <c r="D63" s="400">
        <v>27.06</v>
      </c>
      <c r="E63" s="401">
        <v>160</v>
      </c>
      <c r="F63" s="400"/>
      <c r="G63" s="401"/>
      <c r="H63" s="400"/>
      <c r="I63" s="401"/>
      <c r="J63" s="399" t="s">
        <v>33</v>
      </c>
      <c r="K63" s="402"/>
      <c r="L63" s="399"/>
      <c r="M63" s="403" t="s">
        <v>447</v>
      </c>
      <c r="N63" s="403" t="s">
        <v>473</v>
      </c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  <c r="AG63" s="418"/>
      <c r="AH63" s="418"/>
      <c r="AI63" s="418"/>
      <c r="AJ63" s="418"/>
      <c r="AK63" s="418"/>
      <c r="AL63" s="418"/>
      <c r="AM63" s="418"/>
      <c r="AN63" s="418"/>
      <c r="AO63" s="418"/>
      <c r="AP63" s="418"/>
      <c r="AQ63" s="418"/>
      <c r="AR63" s="418"/>
      <c r="AS63" s="418"/>
      <c r="AT63" s="418"/>
      <c r="AU63" s="418"/>
      <c r="AV63" s="418"/>
      <c r="AW63" s="418"/>
      <c r="AX63" s="418"/>
      <c r="AY63" s="418"/>
      <c r="AZ63" s="418"/>
      <c r="BA63" s="418"/>
      <c r="BB63" s="418"/>
      <c r="BC63" s="418"/>
      <c r="BD63" s="418"/>
      <c r="BE63" s="418"/>
      <c r="BF63" s="418"/>
      <c r="BG63" s="418"/>
      <c r="BH63" s="418"/>
      <c r="BI63" s="418"/>
      <c r="BJ63" s="418"/>
      <c r="BK63" s="418"/>
      <c r="BL63" s="418"/>
      <c r="BM63" s="418"/>
      <c r="BN63" s="418"/>
      <c r="BO63" s="418"/>
      <c r="BP63" s="418"/>
      <c r="BQ63" s="418"/>
      <c r="BR63" s="418"/>
      <c r="BS63" s="418"/>
      <c r="BT63" s="418"/>
      <c r="BU63" s="418"/>
      <c r="BV63" s="418"/>
      <c r="BW63" s="418"/>
      <c r="BX63" s="418"/>
      <c r="BY63" s="418"/>
      <c r="BZ63" s="418"/>
    </row>
    <row r="64" spans="1:78" s="403" customFormat="1" ht="12.75" x14ac:dyDescent="0.2">
      <c r="A64" s="397" t="s">
        <v>151</v>
      </c>
      <c r="B64" s="398">
        <v>710315</v>
      </c>
      <c r="C64" s="399" t="s">
        <v>686</v>
      </c>
      <c r="D64" s="400">
        <v>18.53</v>
      </c>
      <c r="E64" s="401">
        <v>49</v>
      </c>
      <c r="F64" s="400"/>
      <c r="G64" s="401"/>
      <c r="H64" s="400"/>
      <c r="I64" s="401"/>
      <c r="J64" s="399" t="s">
        <v>33</v>
      </c>
      <c r="K64" s="402"/>
      <c r="L64" s="399"/>
      <c r="M64" s="403" t="s">
        <v>447</v>
      </c>
      <c r="N64" s="403" t="s">
        <v>474</v>
      </c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18"/>
      <c r="AP64" s="418"/>
      <c r="AQ64" s="418"/>
      <c r="AR64" s="418"/>
      <c r="AS64" s="418"/>
      <c r="AT64" s="418"/>
      <c r="AU64" s="418"/>
      <c r="AV64" s="418"/>
      <c r="AW64" s="418"/>
      <c r="AX64" s="418"/>
      <c r="AY64" s="418"/>
      <c r="AZ64" s="418"/>
      <c r="BA64" s="418"/>
      <c r="BB64" s="418"/>
      <c r="BC64" s="418"/>
      <c r="BD64" s="418"/>
      <c r="BE64" s="418"/>
      <c r="BF64" s="418"/>
      <c r="BG64" s="418"/>
      <c r="BH64" s="418"/>
      <c r="BI64" s="418"/>
      <c r="BJ64" s="418"/>
      <c r="BK64" s="418"/>
      <c r="BL64" s="418"/>
      <c r="BM64" s="418"/>
      <c r="BN64" s="418"/>
      <c r="BO64" s="418"/>
      <c r="BP64" s="418"/>
      <c r="BQ64" s="418"/>
      <c r="BR64" s="418"/>
      <c r="BS64" s="418"/>
      <c r="BT64" s="418"/>
      <c r="BU64" s="418"/>
      <c r="BV64" s="418"/>
      <c r="BW64" s="418"/>
      <c r="BX64" s="418"/>
      <c r="BY64" s="418"/>
      <c r="BZ64" s="418"/>
    </row>
    <row r="65" spans="1:78" s="403" customFormat="1" ht="25.5" x14ac:dyDescent="0.2">
      <c r="A65" s="397" t="s">
        <v>24</v>
      </c>
      <c r="B65" s="398">
        <v>4892432</v>
      </c>
      <c r="C65" s="399" t="s">
        <v>680</v>
      </c>
      <c r="D65" s="400">
        <v>82.02</v>
      </c>
      <c r="E65" s="401">
        <v>829</v>
      </c>
      <c r="F65" s="400"/>
      <c r="G65" s="401"/>
      <c r="H65" s="400"/>
      <c r="I65" s="401"/>
      <c r="J65" s="399" t="s">
        <v>33</v>
      </c>
      <c r="K65" s="402"/>
      <c r="L65" s="399"/>
      <c r="M65" s="403" t="s">
        <v>447</v>
      </c>
      <c r="N65" s="403" t="s">
        <v>484</v>
      </c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418"/>
      <c r="AV65" s="418"/>
      <c r="AW65" s="418"/>
      <c r="AX65" s="418"/>
      <c r="AY65" s="418"/>
      <c r="AZ65" s="418"/>
      <c r="BA65" s="418"/>
      <c r="BB65" s="418"/>
      <c r="BC65" s="418"/>
      <c r="BD65" s="418"/>
      <c r="BE65" s="418"/>
      <c r="BF65" s="418"/>
      <c r="BG65" s="418"/>
      <c r="BH65" s="418"/>
      <c r="BI65" s="418"/>
      <c r="BJ65" s="418"/>
      <c r="BK65" s="418"/>
      <c r="BL65" s="418"/>
      <c r="BM65" s="418"/>
      <c r="BN65" s="418"/>
      <c r="BO65" s="418"/>
      <c r="BP65" s="418"/>
      <c r="BQ65" s="418"/>
      <c r="BR65" s="418"/>
      <c r="BS65" s="418"/>
      <c r="BT65" s="418"/>
      <c r="BU65" s="418"/>
      <c r="BV65" s="418"/>
      <c r="BW65" s="418"/>
      <c r="BX65" s="418"/>
      <c r="BY65" s="418"/>
      <c r="BZ65" s="418"/>
    </row>
    <row r="66" spans="1:78" s="403" customFormat="1" ht="12.75" x14ac:dyDescent="0.2">
      <c r="A66" s="397" t="s">
        <v>21</v>
      </c>
      <c r="B66" s="398">
        <v>4968878</v>
      </c>
      <c r="C66" s="443" t="s">
        <v>680</v>
      </c>
      <c r="D66" s="400">
        <v>58.08</v>
      </c>
      <c r="E66" s="401">
        <v>543</v>
      </c>
      <c r="F66" s="400"/>
      <c r="G66" s="401"/>
      <c r="H66" s="400"/>
      <c r="I66" s="401"/>
      <c r="J66" s="399" t="s">
        <v>33</v>
      </c>
      <c r="K66" s="402"/>
      <c r="L66" s="399"/>
      <c r="M66" s="403" t="s">
        <v>447</v>
      </c>
      <c r="N66" s="403" t="s">
        <v>482</v>
      </c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418"/>
      <c r="BB66" s="418"/>
      <c r="BC66" s="418"/>
      <c r="BD66" s="418"/>
      <c r="BE66" s="418"/>
      <c r="BF66" s="418"/>
      <c r="BG66" s="418"/>
      <c r="BH66" s="418"/>
      <c r="BI66" s="418"/>
      <c r="BJ66" s="418"/>
      <c r="BK66" s="418"/>
      <c r="BL66" s="418"/>
      <c r="BM66" s="418"/>
      <c r="BN66" s="418"/>
      <c r="BO66" s="418"/>
      <c r="BP66" s="418"/>
      <c r="BQ66" s="418"/>
      <c r="BR66" s="418"/>
      <c r="BS66" s="418"/>
      <c r="BT66" s="418"/>
      <c r="BU66" s="418"/>
      <c r="BV66" s="418"/>
      <c r="BW66" s="418"/>
      <c r="BX66" s="418"/>
      <c r="BY66" s="418"/>
      <c r="BZ66" s="418"/>
    </row>
    <row r="67" spans="1:78" s="403" customFormat="1" ht="25.5" x14ac:dyDescent="0.2">
      <c r="A67" s="397" t="s">
        <v>31</v>
      </c>
      <c r="B67" s="398">
        <v>5041139</v>
      </c>
      <c r="C67" s="399" t="s">
        <v>680</v>
      </c>
      <c r="D67" s="400">
        <v>68.650000000000006</v>
      </c>
      <c r="E67" s="401">
        <v>675</v>
      </c>
      <c r="F67" s="400"/>
      <c r="G67" s="401"/>
      <c r="H67" s="400"/>
      <c r="I67" s="401"/>
      <c r="J67" s="399" t="s">
        <v>33</v>
      </c>
      <c r="K67" s="402"/>
      <c r="L67" s="399"/>
      <c r="M67" s="403" t="s">
        <v>447</v>
      </c>
      <c r="N67" s="403" t="s">
        <v>488</v>
      </c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8"/>
      <c r="BL67" s="418"/>
      <c r="BM67" s="418"/>
      <c r="BN67" s="418"/>
      <c r="BO67" s="418"/>
      <c r="BP67" s="418"/>
      <c r="BQ67" s="418"/>
      <c r="BR67" s="418"/>
      <c r="BS67" s="418"/>
      <c r="BT67" s="418"/>
      <c r="BU67" s="418"/>
      <c r="BV67" s="418"/>
      <c r="BW67" s="418"/>
      <c r="BX67" s="418"/>
      <c r="BY67" s="418"/>
      <c r="BZ67" s="418"/>
    </row>
    <row r="68" spans="1:78" s="403" customFormat="1" ht="25.5" x14ac:dyDescent="0.2">
      <c r="A68" s="397" t="s">
        <v>256</v>
      </c>
      <c r="B68" s="398">
        <v>5276024</v>
      </c>
      <c r="C68" s="399" t="s">
        <v>680</v>
      </c>
      <c r="D68" s="400">
        <v>22.43</v>
      </c>
      <c r="E68" s="401">
        <v>150</v>
      </c>
      <c r="F68" s="400"/>
      <c r="G68" s="401"/>
      <c r="H68" s="400"/>
      <c r="I68" s="401"/>
      <c r="J68" s="399" t="s">
        <v>33</v>
      </c>
      <c r="K68" s="402"/>
      <c r="L68" s="399"/>
      <c r="M68" s="403" t="s">
        <v>447</v>
      </c>
      <c r="N68" s="403" t="s">
        <v>489</v>
      </c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8"/>
      <c r="BL68" s="418"/>
      <c r="BM68" s="418"/>
      <c r="BN68" s="418"/>
      <c r="BO68" s="418"/>
      <c r="BP68" s="418"/>
      <c r="BQ68" s="418"/>
      <c r="BR68" s="418"/>
      <c r="BS68" s="418"/>
      <c r="BT68" s="418"/>
      <c r="BU68" s="418"/>
      <c r="BV68" s="418"/>
      <c r="BW68" s="418"/>
      <c r="BX68" s="418"/>
      <c r="BY68" s="418"/>
      <c r="BZ68" s="418"/>
    </row>
    <row r="69" spans="1:78" s="403" customFormat="1" ht="12.75" x14ac:dyDescent="0.2">
      <c r="A69" s="397" t="s">
        <v>250</v>
      </c>
      <c r="B69" s="398">
        <v>7391</v>
      </c>
      <c r="C69" s="399" t="s">
        <v>685</v>
      </c>
      <c r="D69" s="400">
        <v>18.45</v>
      </c>
      <c r="E69" s="401">
        <v>48</v>
      </c>
      <c r="F69" s="400"/>
      <c r="G69" s="401"/>
      <c r="H69" s="400"/>
      <c r="I69" s="401"/>
      <c r="J69" s="399" t="s">
        <v>33</v>
      </c>
      <c r="K69" s="402"/>
      <c r="L69" s="399"/>
      <c r="M69" s="403" t="s">
        <v>447</v>
      </c>
      <c r="N69" s="403" t="s">
        <v>477</v>
      </c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418"/>
      <c r="BB69" s="418"/>
      <c r="BC69" s="418"/>
      <c r="BD69" s="418"/>
      <c r="BE69" s="418"/>
      <c r="BF69" s="418"/>
      <c r="BG69" s="418"/>
      <c r="BH69" s="418"/>
      <c r="BI69" s="418"/>
      <c r="BJ69" s="418"/>
      <c r="BK69" s="418"/>
      <c r="BL69" s="418"/>
      <c r="BM69" s="418"/>
      <c r="BN69" s="418"/>
      <c r="BO69" s="418"/>
      <c r="BP69" s="418"/>
      <c r="BQ69" s="418"/>
      <c r="BR69" s="418"/>
      <c r="BS69" s="418"/>
      <c r="BT69" s="418"/>
      <c r="BU69" s="418"/>
      <c r="BV69" s="418"/>
      <c r="BW69" s="418"/>
      <c r="BX69" s="418"/>
      <c r="BY69" s="418"/>
      <c r="BZ69" s="418"/>
    </row>
    <row r="70" spans="1:78" s="403" customFormat="1" ht="12.75" x14ac:dyDescent="0.2">
      <c r="A70" s="397" t="s">
        <v>250</v>
      </c>
      <c r="B70" s="398">
        <v>7422</v>
      </c>
      <c r="C70" s="399" t="s">
        <v>685</v>
      </c>
      <c r="D70" s="400">
        <v>16.84</v>
      </c>
      <c r="E70" s="401">
        <v>28</v>
      </c>
      <c r="F70" s="400"/>
      <c r="G70" s="401"/>
      <c r="H70" s="400"/>
      <c r="I70" s="401"/>
      <c r="J70" s="399" t="s">
        <v>33</v>
      </c>
      <c r="K70" s="402"/>
      <c r="L70" s="399"/>
      <c r="M70" s="403" t="s">
        <v>447</v>
      </c>
      <c r="N70" s="403" t="s">
        <v>478</v>
      </c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18"/>
      <c r="AP70" s="418"/>
      <c r="AQ70" s="418"/>
      <c r="AR70" s="418"/>
      <c r="AS70" s="418"/>
      <c r="AT70" s="418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E70" s="418"/>
      <c r="BF70" s="418"/>
      <c r="BG70" s="418"/>
      <c r="BH70" s="418"/>
      <c r="BI70" s="418"/>
      <c r="BJ70" s="418"/>
      <c r="BK70" s="418"/>
      <c r="BL70" s="418"/>
      <c r="BM70" s="418"/>
      <c r="BN70" s="418"/>
      <c r="BO70" s="418"/>
      <c r="BP70" s="418"/>
      <c r="BQ70" s="418"/>
      <c r="BR70" s="418"/>
      <c r="BS70" s="418"/>
      <c r="BT70" s="418"/>
      <c r="BU70" s="418"/>
      <c r="BV70" s="418"/>
      <c r="BW70" s="418"/>
      <c r="BX70" s="418"/>
      <c r="BY70" s="418"/>
      <c r="BZ70" s="418"/>
    </row>
    <row r="71" spans="1:78" s="433" customFormat="1" ht="38.25" x14ac:dyDescent="0.2">
      <c r="A71" s="427" t="s">
        <v>435</v>
      </c>
      <c r="B71" s="428"/>
      <c r="C71" s="429"/>
      <c r="D71" s="430"/>
      <c r="E71" s="431"/>
      <c r="F71" s="430"/>
      <c r="G71" s="431"/>
      <c r="H71" s="430"/>
      <c r="I71" s="431"/>
      <c r="J71" s="429"/>
      <c r="K71" s="432"/>
      <c r="L71" s="409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18"/>
      <c r="AP71" s="418"/>
      <c r="AQ71" s="418"/>
      <c r="AR71" s="418"/>
      <c r="AS71" s="418"/>
      <c r="AT71" s="418"/>
      <c r="AU71" s="418"/>
      <c r="AV71" s="418"/>
      <c r="AW71" s="418"/>
      <c r="AX71" s="418"/>
      <c r="AY71" s="418"/>
      <c r="AZ71" s="418"/>
      <c r="BA71" s="418"/>
      <c r="BB71" s="418"/>
      <c r="BC71" s="418"/>
      <c r="BD71" s="418"/>
      <c r="BE71" s="418"/>
      <c r="BF71" s="418"/>
      <c r="BG71" s="418"/>
      <c r="BH71" s="418"/>
      <c r="BI71" s="418"/>
      <c r="BJ71" s="418"/>
      <c r="BK71" s="418"/>
      <c r="BL71" s="418"/>
      <c r="BM71" s="418"/>
      <c r="BN71" s="418"/>
      <c r="BO71" s="418"/>
      <c r="BP71" s="418"/>
      <c r="BQ71" s="418"/>
      <c r="BR71" s="418"/>
      <c r="BS71" s="418"/>
      <c r="BT71" s="418"/>
      <c r="BU71" s="418"/>
      <c r="BV71" s="418"/>
      <c r="BW71" s="418"/>
      <c r="BX71" s="418"/>
      <c r="BY71" s="418"/>
      <c r="BZ71" s="418"/>
    </row>
    <row r="72" spans="1:78" s="403" customFormat="1" ht="38.25" x14ac:dyDescent="0.2">
      <c r="A72" s="397" t="s">
        <v>51</v>
      </c>
      <c r="B72" s="398" t="s">
        <v>208</v>
      </c>
      <c r="C72" s="443" t="s">
        <v>680</v>
      </c>
      <c r="D72" s="400">
        <v>380</v>
      </c>
      <c r="E72" s="401">
        <v>3503</v>
      </c>
      <c r="F72" s="400"/>
      <c r="G72" s="401"/>
      <c r="H72" s="400"/>
      <c r="I72" s="401"/>
      <c r="J72" s="399" t="s">
        <v>33</v>
      </c>
      <c r="K72" s="402"/>
      <c r="L72" s="399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18"/>
      <c r="AP72" s="418"/>
      <c r="AQ72" s="418"/>
      <c r="AR72" s="418"/>
      <c r="AS72" s="418"/>
      <c r="AT72" s="418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E72" s="418"/>
      <c r="BF72" s="418"/>
      <c r="BG72" s="418"/>
      <c r="BH72" s="418"/>
      <c r="BI72" s="418"/>
      <c r="BJ72" s="418"/>
      <c r="BK72" s="418"/>
      <c r="BL72" s="418"/>
      <c r="BM72" s="418"/>
      <c r="BN72" s="418"/>
      <c r="BO72" s="418"/>
      <c r="BP72" s="418"/>
      <c r="BQ72" s="418"/>
      <c r="BR72" s="418"/>
      <c r="BS72" s="418"/>
      <c r="BT72" s="418"/>
      <c r="BU72" s="418"/>
      <c r="BV72" s="418"/>
      <c r="BW72" s="418"/>
      <c r="BX72" s="418"/>
      <c r="BY72" s="418"/>
      <c r="BZ72" s="418"/>
    </row>
    <row r="73" spans="1:78" s="403" customFormat="1" ht="38.25" x14ac:dyDescent="0.2">
      <c r="A73" s="397" t="s">
        <v>52</v>
      </c>
      <c r="B73" s="398" t="s">
        <v>209</v>
      </c>
      <c r="C73" s="443" t="s">
        <v>680</v>
      </c>
      <c r="D73" s="400">
        <v>198</v>
      </c>
      <c r="E73" s="401">
        <v>1477</v>
      </c>
      <c r="F73" s="400"/>
      <c r="G73" s="401"/>
      <c r="H73" s="400"/>
      <c r="I73" s="401"/>
      <c r="J73" s="399" t="s">
        <v>33</v>
      </c>
      <c r="K73" s="402"/>
      <c r="L73" s="399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418"/>
      <c r="AD73" s="418"/>
      <c r="AE73" s="418"/>
      <c r="AF73" s="418"/>
      <c r="AG73" s="418"/>
      <c r="AH73" s="418"/>
      <c r="AI73" s="418"/>
      <c r="AJ73" s="418"/>
      <c r="AK73" s="418"/>
      <c r="AL73" s="418"/>
      <c r="AM73" s="418"/>
      <c r="AN73" s="418"/>
      <c r="AO73" s="418"/>
      <c r="AP73" s="418"/>
      <c r="AQ73" s="418"/>
      <c r="AR73" s="418"/>
      <c r="AS73" s="418"/>
      <c r="AT73" s="418"/>
      <c r="AU73" s="418"/>
      <c r="AV73" s="418"/>
      <c r="AW73" s="418"/>
      <c r="AX73" s="418"/>
      <c r="AY73" s="418"/>
      <c r="AZ73" s="418"/>
      <c r="BA73" s="418"/>
      <c r="BB73" s="418"/>
      <c r="BC73" s="418"/>
      <c r="BD73" s="418"/>
      <c r="BE73" s="418"/>
      <c r="BF73" s="418"/>
      <c r="BG73" s="418"/>
      <c r="BH73" s="418"/>
      <c r="BI73" s="418"/>
      <c r="BJ73" s="418"/>
      <c r="BK73" s="418"/>
      <c r="BL73" s="418"/>
      <c r="BM73" s="418"/>
      <c r="BN73" s="418"/>
      <c r="BO73" s="418"/>
      <c r="BP73" s="418"/>
      <c r="BQ73" s="418"/>
      <c r="BR73" s="418"/>
      <c r="BS73" s="418"/>
      <c r="BT73" s="418"/>
      <c r="BU73" s="418"/>
      <c r="BV73" s="418"/>
      <c r="BW73" s="418"/>
      <c r="BX73" s="418"/>
      <c r="BY73" s="418"/>
      <c r="BZ73" s="418"/>
    </row>
    <row r="74" spans="1:78" s="403" customFormat="1" ht="38.25" x14ac:dyDescent="0.2">
      <c r="A74" s="397" t="s">
        <v>54</v>
      </c>
      <c r="B74" s="398">
        <v>7039100</v>
      </c>
      <c r="C74" s="443" t="s">
        <v>680</v>
      </c>
      <c r="D74" s="400">
        <v>103</v>
      </c>
      <c r="E74" s="401">
        <v>523</v>
      </c>
      <c r="F74" s="400"/>
      <c r="G74" s="401"/>
      <c r="H74" s="400"/>
      <c r="I74" s="401"/>
      <c r="J74" s="399" t="s">
        <v>33</v>
      </c>
      <c r="K74" s="402"/>
      <c r="L74" s="399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418"/>
      <c r="AN74" s="418"/>
      <c r="AO74" s="418"/>
      <c r="AP74" s="418"/>
      <c r="AQ74" s="418"/>
      <c r="AR74" s="418"/>
      <c r="AS74" s="418"/>
      <c r="AT74" s="418"/>
      <c r="AU74" s="418"/>
      <c r="AV74" s="418"/>
      <c r="AW74" s="418"/>
      <c r="AX74" s="418"/>
      <c r="AY74" s="418"/>
      <c r="AZ74" s="418"/>
      <c r="BA74" s="418"/>
      <c r="BB74" s="418"/>
      <c r="BC74" s="418"/>
      <c r="BD74" s="418"/>
      <c r="BE74" s="418"/>
      <c r="BF74" s="418"/>
      <c r="BG74" s="418"/>
      <c r="BH74" s="418"/>
      <c r="BI74" s="418"/>
      <c r="BJ74" s="418"/>
      <c r="BK74" s="418"/>
      <c r="BL74" s="418"/>
      <c r="BM74" s="418"/>
      <c r="BN74" s="418"/>
      <c r="BO74" s="418"/>
      <c r="BP74" s="418"/>
      <c r="BQ74" s="418"/>
      <c r="BR74" s="418"/>
      <c r="BS74" s="418"/>
      <c r="BT74" s="418"/>
      <c r="BU74" s="418"/>
      <c r="BV74" s="418"/>
      <c r="BW74" s="418"/>
      <c r="BX74" s="418"/>
      <c r="BY74" s="418"/>
      <c r="BZ74" s="418"/>
    </row>
    <row r="75" spans="1:78" s="403" customFormat="1" ht="25.5" x14ac:dyDescent="0.2">
      <c r="A75" s="397" t="s">
        <v>55</v>
      </c>
      <c r="B75" s="398" t="s">
        <v>212</v>
      </c>
      <c r="C75" s="443" t="s">
        <v>680</v>
      </c>
      <c r="D75" s="400">
        <v>43</v>
      </c>
      <c r="E75" s="401">
        <v>128</v>
      </c>
      <c r="F75" s="400"/>
      <c r="G75" s="401"/>
      <c r="H75" s="400"/>
      <c r="I75" s="401"/>
      <c r="J75" s="399" t="s">
        <v>33</v>
      </c>
      <c r="K75" s="402"/>
      <c r="L75" s="399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18"/>
      <c r="AP75" s="418"/>
      <c r="AQ75" s="418"/>
      <c r="AR75" s="418"/>
      <c r="AS75" s="418"/>
      <c r="AT75" s="418"/>
      <c r="AU75" s="418"/>
      <c r="AV75" s="418"/>
      <c r="AW75" s="418"/>
      <c r="AX75" s="418"/>
      <c r="AY75" s="418"/>
      <c r="AZ75" s="418"/>
      <c r="BA75" s="418"/>
      <c r="BB75" s="418"/>
      <c r="BC75" s="418"/>
      <c r="BD75" s="418"/>
      <c r="BE75" s="418"/>
      <c r="BF75" s="418"/>
      <c r="BG75" s="418"/>
      <c r="BH75" s="418"/>
      <c r="BI75" s="418"/>
      <c r="BJ75" s="418"/>
      <c r="BK75" s="418"/>
      <c r="BL75" s="418"/>
      <c r="BM75" s="418"/>
      <c r="BN75" s="418"/>
      <c r="BO75" s="418"/>
      <c r="BP75" s="418"/>
      <c r="BQ75" s="418"/>
      <c r="BR75" s="418"/>
      <c r="BS75" s="418"/>
      <c r="BT75" s="418"/>
      <c r="BU75" s="418"/>
      <c r="BV75" s="418"/>
      <c r="BW75" s="418"/>
      <c r="BX75" s="418"/>
      <c r="BY75" s="418"/>
      <c r="BZ75" s="418"/>
    </row>
    <row r="76" spans="1:78" s="403" customFormat="1" ht="25.5" x14ac:dyDescent="0.2">
      <c r="A76" s="397" t="s">
        <v>56</v>
      </c>
      <c r="B76" s="398" t="s">
        <v>213</v>
      </c>
      <c r="C76" s="443" t="s">
        <v>680</v>
      </c>
      <c r="D76" s="400">
        <v>37</v>
      </c>
      <c r="E76" s="401">
        <v>69</v>
      </c>
      <c r="F76" s="400"/>
      <c r="G76" s="401"/>
      <c r="H76" s="400"/>
      <c r="I76" s="401"/>
      <c r="J76" s="399" t="s">
        <v>33</v>
      </c>
      <c r="K76" s="402"/>
      <c r="L76" s="399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8"/>
      <c r="AK76" s="418"/>
      <c r="AL76" s="418"/>
      <c r="AM76" s="418"/>
      <c r="AN76" s="418"/>
      <c r="AO76" s="418"/>
      <c r="AP76" s="418"/>
      <c r="AQ76" s="418"/>
      <c r="AR76" s="418"/>
      <c r="AS76" s="418"/>
      <c r="AT76" s="418"/>
      <c r="AU76" s="418"/>
      <c r="AV76" s="418"/>
      <c r="AW76" s="418"/>
      <c r="AX76" s="418"/>
      <c r="AY76" s="418"/>
      <c r="AZ76" s="418"/>
      <c r="BA76" s="418"/>
      <c r="BB76" s="418"/>
      <c r="BC76" s="418"/>
      <c r="BD76" s="418"/>
      <c r="BE76" s="418"/>
      <c r="BF76" s="418"/>
      <c r="BG76" s="418"/>
      <c r="BH76" s="418"/>
      <c r="BI76" s="418"/>
      <c r="BJ76" s="418"/>
      <c r="BK76" s="418"/>
      <c r="BL76" s="418"/>
      <c r="BM76" s="418"/>
      <c r="BN76" s="418"/>
      <c r="BO76" s="418"/>
      <c r="BP76" s="418"/>
      <c r="BQ76" s="418"/>
      <c r="BR76" s="418"/>
      <c r="BS76" s="418"/>
      <c r="BT76" s="418"/>
      <c r="BU76" s="418"/>
      <c r="BV76" s="418"/>
      <c r="BW76" s="418"/>
      <c r="BX76" s="418"/>
      <c r="BY76" s="418"/>
      <c r="BZ76" s="418"/>
    </row>
    <row r="77" spans="1:78" s="403" customFormat="1" ht="25.5" x14ac:dyDescent="0.2">
      <c r="A77" s="397" t="s">
        <v>57</v>
      </c>
      <c r="B77" s="398" t="s">
        <v>214</v>
      </c>
      <c r="C77" s="443" t="s">
        <v>680</v>
      </c>
      <c r="D77" s="400">
        <v>290</v>
      </c>
      <c r="E77" s="401">
        <v>2401</v>
      </c>
      <c r="F77" s="400"/>
      <c r="G77" s="401"/>
      <c r="H77" s="400"/>
      <c r="I77" s="401"/>
      <c r="J77" s="399" t="s">
        <v>33</v>
      </c>
      <c r="K77" s="402"/>
      <c r="L77" s="399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18"/>
      <c r="AC77" s="418"/>
      <c r="AD77" s="418"/>
      <c r="AE77" s="418"/>
      <c r="AF77" s="418"/>
      <c r="AG77" s="418"/>
      <c r="AH77" s="418"/>
      <c r="AI77" s="418"/>
      <c r="AJ77" s="418"/>
      <c r="AK77" s="418"/>
      <c r="AL77" s="418"/>
      <c r="AM77" s="418"/>
      <c r="AN77" s="418"/>
      <c r="AO77" s="418"/>
      <c r="AP77" s="418"/>
      <c r="AQ77" s="418"/>
      <c r="AR77" s="418"/>
      <c r="AS77" s="418"/>
      <c r="AT77" s="418"/>
      <c r="AU77" s="418"/>
      <c r="AV77" s="418"/>
      <c r="AW77" s="418"/>
      <c r="AX77" s="418"/>
      <c r="AY77" s="418"/>
      <c r="AZ77" s="418"/>
      <c r="BA77" s="418"/>
      <c r="BB77" s="418"/>
      <c r="BC77" s="418"/>
      <c r="BD77" s="418"/>
      <c r="BE77" s="418"/>
      <c r="BF77" s="418"/>
      <c r="BG77" s="418"/>
      <c r="BH77" s="418"/>
      <c r="BI77" s="418"/>
      <c r="BJ77" s="418"/>
      <c r="BK77" s="418"/>
      <c r="BL77" s="418"/>
      <c r="BM77" s="418"/>
      <c r="BN77" s="418"/>
      <c r="BO77" s="418"/>
      <c r="BP77" s="418"/>
      <c r="BQ77" s="418"/>
      <c r="BR77" s="418"/>
      <c r="BS77" s="418"/>
      <c r="BT77" s="418"/>
      <c r="BU77" s="418"/>
      <c r="BV77" s="418"/>
      <c r="BW77" s="418"/>
      <c r="BX77" s="418"/>
      <c r="BY77" s="418"/>
      <c r="BZ77" s="418"/>
    </row>
    <row r="78" spans="1:78" s="403" customFormat="1" ht="25.5" x14ac:dyDescent="0.2">
      <c r="A78" s="397" t="s">
        <v>58</v>
      </c>
      <c r="B78" s="398" t="s">
        <v>215</v>
      </c>
      <c r="C78" s="443" t="s">
        <v>680</v>
      </c>
      <c r="D78" s="400">
        <v>157</v>
      </c>
      <c r="E78" s="401">
        <v>1359</v>
      </c>
      <c r="F78" s="400"/>
      <c r="G78" s="401"/>
      <c r="H78" s="400"/>
      <c r="I78" s="401"/>
      <c r="J78" s="399" t="s">
        <v>33</v>
      </c>
      <c r="K78" s="402"/>
      <c r="L78" s="399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418"/>
      <c r="BB78" s="418"/>
      <c r="BC78" s="418"/>
      <c r="BD78" s="418"/>
      <c r="BE78" s="418"/>
      <c r="BF78" s="418"/>
      <c r="BG78" s="418"/>
      <c r="BH78" s="418"/>
      <c r="BI78" s="418"/>
      <c r="BJ78" s="418"/>
      <c r="BK78" s="418"/>
      <c r="BL78" s="418"/>
      <c r="BM78" s="418"/>
      <c r="BN78" s="418"/>
      <c r="BO78" s="418"/>
      <c r="BP78" s="418"/>
      <c r="BQ78" s="418"/>
      <c r="BR78" s="418"/>
      <c r="BS78" s="418"/>
      <c r="BT78" s="418"/>
      <c r="BU78" s="418"/>
      <c r="BV78" s="418"/>
      <c r="BW78" s="418"/>
      <c r="BX78" s="418"/>
      <c r="BY78" s="418"/>
      <c r="BZ78" s="418"/>
    </row>
    <row r="79" spans="1:78" s="403" customFormat="1" ht="25.5" x14ac:dyDescent="0.2">
      <c r="A79" s="397" t="s">
        <v>59</v>
      </c>
      <c r="B79" s="398" t="s">
        <v>216</v>
      </c>
      <c r="C79" s="443" t="s">
        <v>680</v>
      </c>
      <c r="D79" s="400">
        <v>51</v>
      </c>
      <c r="E79" s="401">
        <v>208</v>
      </c>
      <c r="F79" s="400"/>
      <c r="G79" s="401"/>
      <c r="H79" s="400"/>
      <c r="I79" s="401"/>
      <c r="J79" s="399" t="s">
        <v>33</v>
      </c>
      <c r="K79" s="402"/>
      <c r="L79" s="399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418"/>
      <c r="BB79" s="418"/>
      <c r="BC79" s="418"/>
      <c r="BD79" s="418"/>
      <c r="BE79" s="418"/>
      <c r="BF79" s="418"/>
      <c r="BG79" s="418"/>
      <c r="BH79" s="418"/>
      <c r="BI79" s="418"/>
      <c r="BJ79" s="418"/>
      <c r="BK79" s="418"/>
      <c r="BL79" s="418"/>
      <c r="BM79" s="418"/>
      <c r="BN79" s="418"/>
      <c r="BO79" s="418"/>
      <c r="BP79" s="418"/>
      <c r="BQ79" s="418"/>
      <c r="BR79" s="418"/>
      <c r="BS79" s="418"/>
      <c r="BT79" s="418"/>
      <c r="BU79" s="418"/>
      <c r="BV79" s="418"/>
      <c r="BW79" s="418"/>
      <c r="BX79" s="418"/>
      <c r="BY79" s="418"/>
      <c r="BZ79" s="418"/>
    </row>
    <row r="80" spans="1:78" s="403" customFormat="1" ht="25.5" x14ac:dyDescent="0.2">
      <c r="A80" s="397" t="s">
        <v>60</v>
      </c>
      <c r="B80" s="398" t="s">
        <v>217</v>
      </c>
      <c r="C80" s="443" t="s">
        <v>680</v>
      </c>
      <c r="D80" s="400">
        <v>60</v>
      </c>
      <c r="E80" s="401">
        <v>94</v>
      </c>
      <c r="F80" s="400"/>
      <c r="G80" s="401"/>
      <c r="H80" s="400"/>
      <c r="I80" s="401"/>
      <c r="J80" s="399" t="s">
        <v>33</v>
      </c>
      <c r="K80" s="402"/>
      <c r="L80" s="399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418"/>
      <c r="AJ80" s="418"/>
      <c r="AK80" s="418"/>
      <c r="AL80" s="418"/>
      <c r="AM80" s="418"/>
      <c r="AN80" s="418"/>
      <c r="AO80" s="418"/>
      <c r="AP80" s="418"/>
      <c r="AQ80" s="418"/>
      <c r="AR80" s="418"/>
      <c r="AS80" s="418"/>
      <c r="AT80" s="418"/>
      <c r="AU80" s="418"/>
      <c r="AV80" s="418"/>
      <c r="AW80" s="418"/>
      <c r="AX80" s="418"/>
      <c r="AY80" s="418"/>
      <c r="AZ80" s="418"/>
      <c r="BA80" s="418"/>
      <c r="BB80" s="418"/>
      <c r="BC80" s="418"/>
      <c r="BD80" s="418"/>
      <c r="BE80" s="418"/>
      <c r="BF80" s="418"/>
      <c r="BG80" s="418"/>
      <c r="BH80" s="418"/>
      <c r="BI80" s="418"/>
      <c r="BJ80" s="418"/>
      <c r="BK80" s="418"/>
      <c r="BL80" s="418"/>
      <c r="BM80" s="418"/>
      <c r="BN80" s="418"/>
      <c r="BO80" s="418"/>
      <c r="BP80" s="418"/>
      <c r="BQ80" s="418"/>
      <c r="BR80" s="418"/>
      <c r="BS80" s="418"/>
      <c r="BT80" s="418"/>
      <c r="BU80" s="418"/>
      <c r="BV80" s="418"/>
      <c r="BW80" s="418"/>
      <c r="BX80" s="418"/>
      <c r="BY80" s="418"/>
      <c r="BZ80" s="418"/>
    </row>
    <row r="81" spans="1:78" s="403" customFormat="1" ht="25.5" x14ac:dyDescent="0.2">
      <c r="A81" s="397" t="s">
        <v>61</v>
      </c>
      <c r="B81" s="398" t="s">
        <v>218</v>
      </c>
      <c r="C81" s="443" t="s">
        <v>680</v>
      </c>
      <c r="D81" s="400">
        <v>31</v>
      </c>
      <c r="E81" s="401">
        <v>3</v>
      </c>
      <c r="F81" s="400"/>
      <c r="G81" s="401"/>
      <c r="H81" s="400"/>
      <c r="I81" s="401"/>
      <c r="J81" s="399" t="s">
        <v>33</v>
      </c>
      <c r="K81" s="402"/>
      <c r="L81" s="399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418"/>
      <c r="AD81" s="418"/>
      <c r="AE81" s="418"/>
      <c r="AF81" s="418"/>
      <c r="AG81" s="418"/>
      <c r="AH81" s="418"/>
      <c r="AI81" s="418"/>
      <c r="AJ81" s="418"/>
      <c r="AK81" s="418"/>
      <c r="AL81" s="418"/>
      <c r="AM81" s="418"/>
      <c r="AN81" s="418"/>
      <c r="AO81" s="418"/>
      <c r="AP81" s="418"/>
      <c r="AQ81" s="418"/>
      <c r="AR81" s="418"/>
      <c r="AS81" s="418"/>
      <c r="AT81" s="418"/>
      <c r="AU81" s="418"/>
      <c r="AV81" s="418"/>
      <c r="AW81" s="418"/>
      <c r="AX81" s="418"/>
      <c r="AY81" s="418"/>
      <c r="AZ81" s="418"/>
      <c r="BA81" s="418"/>
      <c r="BB81" s="418"/>
      <c r="BC81" s="418"/>
      <c r="BD81" s="418"/>
      <c r="BE81" s="418"/>
      <c r="BF81" s="418"/>
      <c r="BG81" s="418"/>
      <c r="BH81" s="418"/>
      <c r="BI81" s="418"/>
      <c r="BJ81" s="418"/>
      <c r="BK81" s="418"/>
      <c r="BL81" s="418"/>
      <c r="BM81" s="418"/>
      <c r="BN81" s="418"/>
      <c r="BO81" s="418"/>
      <c r="BP81" s="418"/>
      <c r="BQ81" s="418"/>
      <c r="BR81" s="418"/>
      <c r="BS81" s="418"/>
      <c r="BT81" s="418"/>
      <c r="BU81" s="418"/>
      <c r="BV81" s="418"/>
      <c r="BW81" s="418"/>
      <c r="BX81" s="418"/>
      <c r="BY81" s="418"/>
      <c r="BZ81" s="418"/>
    </row>
    <row r="82" spans="1:78" s="403" customFormat="1" ht="25.5" x14ac:dyDescent="0.2">
      <c r="A82" s="397" t="s">
        <v>62</v>
      </c>
      <c r="B82" s="398" t="s">
        <v>219</v>
      </c>
      <c r="C82" s="443" t="s">
        <v>680</v>
      </c>
      <c r="D82" s="400">
        <v>63</v>
      </c>
      <c r="E82" s="401">
        <v>326</v>
      </c>
      <c r="F82" s="400"/>
      <c r="G82" s="401"/>
      <c r="H82" s="400"/>
      <c r="I82" s="401"/>
      <c r="J82" s="399" t="s">
        <v>33</v>
      </c>
      <c r="K82" s="402"/>
      <c r="L82" s="399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  <c r="AA82" s="418"/>
      <c r="AB82" s="418"/>
      <c r="AC82" s="418"/>
      <c r="AD82" s="418"/>
      <c r="AE82" s="418"/>
      <c r="AF82" s="418"/>
      <c r="AG82" s="418"/>
      <c r="AH82" s="418"/>
      <c r="AI82" s="418"/>
      <c r="AJ82" s="418"/>
      <c r="AK82" s="418"/>
      <c r="AL82" s="418"/>
      <c r="AM82" s="418"/>
      <c r="AN82" s="418"/>
      <c r="AO82" s="418"/>
      <c r="AP82" s="418"/>
      <c r="AQ82" s="418"/>
      <c r="AR82" s="418"/>
      <c r="AS82" s="418"/>
      <c r="AT82" s="418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418"/>
      <c r="BF82" s="418"/>
      <c r="BG82" s="418"/>
      <c r="BH82" s="418"/>
      <c r="BI82" s="418"/>
      <c r="BJ82" s="418"/>
      <c r="BK82" s="418"/>
      <c r="BL82" s="418"/>
      <c r="BM82" s="418"/>
      <c r="BN82" s="418"/>
      <c r="BO82" s="418"/>
      <c r="BP82" s="418"/>
      <c r="BQ82" s="418"/>
      <c r="BR82" s="418"/>
      <c r="BS82" s="418"/>
      <c r="BT82" s="418"/>
      <c r="BU82" s="418"/>
      <c r="BV82" s="418"/>
      <c r="BW82" s="418"/>
      <c r="BX82" s="418"/>
      <c r="BY82" s="418"/>
      <c r="BZ82" s="418"/>
    </row>
    <row r="83" spans="1:78" s="396" customFormat="1" ht="12.75" x14ac:dyDescent="0.2">
      <c r="A83" s="390" t="s">
        <v>621</v>
      </c>
      <c r="B83" s="391" t="s">
        <v>201</v>
      </c>
      <c r="C83" s="392" t="s">
        <v>680</v>
      </c>
      <c r="D83" s="393">
        <v>108</v>
      </c>
      <c r="E83" s="394">
        <v>608</v>
      </c>
      <c r="F83" s="393"/>
      <c r="G83" s="394"/>
      <c r="H83" s="393"/>
      <c r="I83" s="394"/>
      <c r="J83" s="392" t="s">
        <v>33</v>
      </c>
      <c r="K83" s="395"/>
      <c r="L83" s="392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  <c r="AO83" s="478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  <c r="BH83" s="478"/>
      <c r="BI83" s="478"/>
      <c r="BJ83" s="478"/>
      <c r="BK83" s="478"/>
      <c r="BL83" s="478"/>
      <c r="BM83" s="478"/>
      <c r="BN83" s="478"/>
      <c r="BO83" s="478"/>
      <c r="BP83" s="478"/>
      <c r="BQ83" s="478"/>
      <c r="BR83" s="478"/>
      <c r="BS83" s="478"/>
      <c r="BT83" s="478"/>
      <c r="BU83" s="478"/>
      <c r="BV83" s="478"/>
      <c r="BW83" s="478"/>
      <c r="BX83" s="478"/>
      <c r="BY83" s="478"/>
      <c r="BZ83" s="478"/>
    </row>
    <row r="84" spans="1:78" s="403" customFormat="1" ht="25.5" x14ac:dyDescent="0.2">
      <c r="A84" s="397" t="s">
        <v>95</v>
      </c>
      <c r="B84" s="398" t="s">
        <v>202</v>
      </c>
      <c r="C84" s="399" t="s">
        <v>680</v>
      </c>
      <c r="D84" s="400">
        <v>1271</v>
      </c>
      <c r="E84" s="401">
        <v>12000</v>
      </c>
      <c r="F84" s="400"/>
      <c r="G84" s="401"/>
      <c r="H84" s="400"/>
      <c r="I84" s="401"/>
      <c r="J84" s="399" t="s">
        <v>33</v>
      </c>
      <c r="K84" s="402"/>
      <c r="L84" s="399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8"/>
      <c r="AO84" s="418"/>
      <c r="AP84" s="418"/>
      <c r="AQ84" s="418"/>
      <c r="AR84" s="418"/>
      <c r="AS84" s="418"/>
      <c r="AT84" s="418"/>
      <c r="AU84" s="418"/>
      <c r="AV84" s="418"/>
      <c r="AW84" s="418"/>
      <c r="AX84" s="418"/>
      <c r="AY84" s="418"/>
      <c r="AZ84" s="418"/>
      <c r="BA84" s="418"/>
      <c r="BB84" s="418"/>
      <c r="BC84" s="418"/>
      <c r="BD84" s="418"/>
      <c r="BE84" s="418"/>
      <c r="BF84" s="418"/>
      <c r="BG84" s="418"/>
      <c r="BH84" s="418"/>
      <c r="BI84" s="418"/>
      <c r="BJ84" s="418"/>
      <c r="BK84" s="418"/>
      <c r="BL84" s="418"/>
      <c r="BM84" s="418"/>
      <c r="BN84" s="418"/>
      <c r="BO84" s="418"/>
      <c r="BP84" s="418"/>
      <c r="BQ84" s="418"/>
      <c r="BR84" s="418"/>
      <c r="BS84" s="418"/>
      <c r="BT84" s="418"/>
      <c r="BU84" s="418"/>
      <c r="BV84" s="418"/>
      <c r="BW84" s="418"/>
      <c r="BX84" s="418"/>
      <c r="BY84" s="418"/>
      <c r="BZ84" s="418"/>
    </row>
    <row r="85" spans="1:78" s="403" customFormat="1" ht="12.75" x14ac:dyDescent="0.2">
      <c r="A85" s="397" t="s">
        <v>96</v>
      </c>
      <c r="B85" s="398">
        <v>7215400</v>
      </c>
      <c r="C85" s="399" t="s">
        <v>680</v>
      </c>
      <c r="D85" s="400">
        <v>47</v>
      </c>
      <c r="E85" s="401">
        <v>82</v>
      </c>
      <c r="F85" s="400"/>
      <c r="G85" s="401"/>
      <c r="H85" s="400"/>
      <c r="I85" s="401"/>
      <c r="J85" s="399" t="s">
        <v>33</v>
      </c>
      <c r="K85" s="402"/>
      <c r="L85" s="399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418"/>
      <c r="AF85" s="418"/>
      <c r="AG85" s="418"/>
      <c r="AH85" s="418"/>
      <c r="AI85" s="418"/>
      <c r="AJ85" s="418"/>
      <c r="AK85" s="418"/>
      <c r="AL85" s="418"/>
      <c r="AM85" s="418"/>
      <c r="AN85" s="418"/>
      <c r="AO85" s="418"/>
      <c r="AP85" s="418"/>
      <c r="AQ85" s="418"/>
      <c r="AR85" s="418"/>
      <c r="AS85" s="418"/>
      <c r="AT85" s="418"/>
      <c r="AU85" s="418"/>
      <c r="AV85" s="418"/>
      <c r="AW85" s="418"/>
      <c r="AX85" s="418"/>
      <c r="AY85" s="418"/>
      <c r="AZ85" s="418"/>
      <c r="BA85" s="418"/>
      <c r="BB85" s="418"/>
      <c r="BC85" s="418"/>
      <c r="BD85" s="418"/>
      <c r="BE85" s="418"/>
      <c r="BF85" s="418"/>
      <c r="BG85" s="418"/>
      <c r="BH85" s="418"/>
      <c r="BI85" s="418"/>
      <c r="BJ85" s="418"/>
      <c r="BK85" s="418"/>
      <c r="BL85" s="418"/>
      <c r="BM85" s="418"/>
      <c r="BN85" s="418"/>
      <c r="BO85" s="418"/>
      <c r="BP85" s="418"/>
      <c r="BQ85" s="418"/>
      <c r="BR85" s="418"/>
      <c r="BS85" s="418"/>
      <c r="BT85" s="418"/>
      <c r="BU85" s="418"/>
      <c r="BV85" s="418"/>
      <c r="BW85" s="418"/>
      <c r="BX85" s="418"/>
      <c r="BY85" s="418"/>
      <c r="BZ85" s="418"/>
    </row>
    <row r="86" spans="1:78" s="403" customFormat="1" ht="25.5" x14ac:dyDescent="0.2">
      <c r="A86" s="397" t="s">
        <v>97</v>
      </c>
      <c r="B86" s="398" t="s">
        <v>204</v>
      </c>
      <c r="C86" s="399" t="s">
        <v>680</v>
      </c>
      <c r="D86" s="400">
        <v>47</v>
      </c>
      <c r="E86" s="401">
        <v>11</v>
      </c>
      <c r="F86" s="400"/>
      <c r="G86" s="401"/>
      <c r="H86" s="400"/>
      <c r="I86" s="401"/>
      <c r="J86" s="399" t="s">
        <v>33</v>
      </c>
      <c r="K86" s="402"/>
      <c r="L86" s="399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  <c r="AA86" s="418"/>
      <c r="AB86" s="418"/>
      <c r="AC86" s="418"/>
      <c r="AD86" s="418"/>
      <c r="AE86" s="418"/>
      <c r="AF86" s="418"/>
      <c r="AG86" s="418"/>
      <c r="AH86" s="418"/>
      <c r="AI86" s="418"/>
      <c r="AJ86" s="418"/>
      <c r="AK86" s="418"/>
      <c r="AL86" s="418"/>
      <c r="AM86" s="418"/>
      <c r="AN86" s="418"/>
      <c r="AO86" s="418"/>
      <c r="AP86" s="418"/>
      <c r="AQ86" s="418"/>
      <c r="AR86" s="418"/>
      <c r="AS86" s="418"/>
      <c r="AT86" s="418"/>
      <c r="AU86" s="418"/>
      <c r="AV86" s="418"/>
      <c r="AW86" s="418"/>
      <c r="AX86" s="418"/>
      <c r="AY86" s="418"/>
      <c r="AZ86" s="418"/>
      <c r="BA86" s="418"/>
      <c r="BB86" s="418"/>
      <c r="BC86" s="418"/>
      <c r="BD86" s="418"/>
      <c r="BE86" s="418"/>
      <c r="BF86" s="418"/>
      <c r="BG86" s="418"/>
      <c r="BH86" s="418"/>
      <c r="BI86" s="418"/>
      <c r="BJ86" s="418"/>
      <c r="BK86" s="418"/>
      <c r="BL86" s="418"/>
      <c r="BM86" s="418"/>
      <c r="BN86" s="418"/>
      <c r="BO86" s="418"/>
      <c r="BP86" s="418"/>
      <c r="BQ86" s="418"/>
      <c r="BR86" s="418"/>
      <c r="BS86" s="418"/>
      <c r="BT86" s="418"/>
      <c r="BU86" s="418"/>
      <c r="BV86" s="418"/>
      <c r="BW86" s="418"/>
      <c r="BX86" s="418"/>
      <c r="BY86" s="418"/>
      <c r="BZ86" s="418"/>
    </row>
    <row r="87" spans="1:78" s="403" customFormat="1" ht="25.5" x14ac:dyDescent="0.2">
      <c r="A87" s="397" t="s">
        <v>98</v>
      </c>
      <c r="B87" s="398" t="s">
        <v>205</v>
      </c>
      <c r="C87" s="399" t="s">
        <v>680</v>
      </c>
      <c r="D87" s="400">
        <v>30</v>
      </c>
      <c r="E87" s="401">
        <v>0</v>
      </c>
      <c r="F87" s="400"/>
      <c r="G87" s="401"/>
      <c r="H87" s="400"/>
      <c r="I87" s="401"/>
      <c r="J87" s="399" t="s">
        <v>33</v>
      </c>
      <c r="K87" s="402"/>
      <c r="L87" s="399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418"/>
      <c r="AD87" s="418"/>
      <c r="AE87" s="418"/>
      <c r="AF87" s="418"/>
      <c r="AG87" s="418"/>
      <c r="AH87" s="418"/>
      <c r="AI87" s="418"/>
      <c r="AJ87" s="418"/>
      <c r="AK87" s="418"/>
      <c r="AL87" s="418"/>
      <c r="AM87" s="418"/>
      <c r="AN87" s="418"/>
      <c r="AO87" s="418"/>
      <c r="AP87" s="418"/>
      <c r="AQ87" s="418"/>
      <c r="AR87" s="418"/>
      <c r="AS87" s="418"/>
      <c r="AT87" s="418"/>
      <c r="AU87" s="418"/>
      <c r="AV87" s="418"/>
      <c r="AW87" s="418"/>
      <c r="AX87" s="418"/>
      <c r="AY87" s="418"/>
      <c r="AZ87" s="418"/>
      <c r="BA87" s="418"/>
      <c r="BB87" s="418"/>
      <c r="BC87" s="418"/>
      <c r="BD87" s="418"/>
      <c r="BE87" s="418"/>
      <c r="BF87" s="418"/>
      <c r="BG87" s="418"/>
      <c r="BH87" s="418"/>
      <c r="BI87" s="418"/>
      <c r="BJ87" s="418"/>
      <c r="BK87" s="418"/>
      <c r="BL87" s="418"/>
      <c r="BM87" s="418"/>
      <c r="BN87" s="418"/>
      <c r="BO87" s="418"/>
      <c r="BP87" s="418"/>
      <c r="BQ87" s="418"/>
      <c r="BR87" s="418"/>
      <c r="BS87" s="418"/>
      <c r="BT87" s="418"/>
      <c r="BU87" s="418"/>
      <c r="BV87" s="418"/>
      <c r="BW87" s="418"/>
      <c r="BX87" s="418"/>
      <c r="BY87" s="418"/>
      <c r="BZ87" s="418"/>
    </row>
    <row r="88" spans="1:78" s="403" customFormat="1" ht="25.5" x14ac:dyDescent="0.2">
      <c r="A88" s="397" t="s">
        <v>99</v>
      </c>
      <c r="B88" s="398" t="s">
        <v>206</v>
      </c>
      <c r="C88" s="399" t="s">
        <v>680</v>
      </c>
      <c r="D88" s="400">
        <v>62</v>
      </c>
      <c r="E88" s="401">
        <v>231</v>
      </c>
      <c r="F88" s="400"/>
      <c r="G88" s="401"/>
      <c r="H88" s="400"/>
      <c r="I88" s="401"/>
      <c r="J88" s="399" t="s">
        <v>33</v>
      </c>
      <c r="K88" s="402"/>
      <c r="L88" s="399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  <c r="AA88" s="418"/>
      <c r="AB88" s="418"/>
      <c r="AC88" s="418"/>
      <c r="AD88" s="418"/>
      <c r="AE88" s="418"/>
      <c r="AF88" s="418"/>
      <c r="AG88" s="418"/>
      <c r="AH88" s="418"/>
      <c r="AI88" s="418"/>
      <c r="AJ88" s="418"/>
      <c r="AK88" s="418"/>
      <c r="AL88" s="418"/>
      <c r="AM88" s="418"/>
      <c r="AN88" s="418"/>
      <c r="AO88" s="418"/>
      <c r="AP88" s="418"/>
      <c r="AQ88" s="418"/>
      <c r="AR88" s="418"/>
      <c r="AS88" s="418"/>
      <c r="AT88" s="418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418"/>
      <c r="BH88" s="418"/>
      <c r="BI88" s="418"/>
      <c r="BJ88" s="418"/>
      <c r="BK88" s="418"/>
      <c r="BL88" s="418"/>
      <c r="BM88" s="418"/>
      <c r="BN88" s="418"/>
      <c r="BO88" s="418"/>
      <c r="BP88" s="418"/>
      <c r="BQ88" s="418"/>
      <c r="BR88" s="418"/>
      <c r="BS88" s="418"/>
      <c r="BT88" s="418"/>
      <c r="BU88" s="418"/>
      <c r="BV88" s="418"/>
      <c r="BW88" s="418"/>
      <c r="BX88" s="418"/>
      <c r="BY88" s="418"/>
      <c r="BZ88" s="418"/>
    </row>
    <row r="89" spans="1:78" s="403" customFormat="1" ht="25.5" x14ac:dyDescent="0.2">
      <c r="A89" s="397" t="s">
        <v>100</v>
      </c>
      <c r="B89" s="466">
        <v>1323346600</v>
      </c>
      <c r="C89" s="399" t="s">
        <v>680</v>
      </c>
      <c r="D89" s="400">
        <v>207</v>
      </c>
      <c r="E89" s="401">
        <v>1200</v>
      </c>
      <c r="F89" s="400"/>
      <c r="G89" s="401"/>
      <c r="H89" s="400"/>
      <c r="I89" s="401"/>
      <c r="J89" s="399" t="s">
        <v>33</v>
      </c>
      <c r="K89" s="402"/>
      <c r="L89" s="399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418"/>
      <c r="AD89" s="418"/>
      <c r="AE89" s="418"/>
      <c r="AF89" s="418"/>
      <c r="AG89" s="418"/>
      <c r="AH89" s="418"/>
      <c r="AI89" s="418"/>
      <c r="AJ89" s="418"/>
      <c r="AK89" s="418"/>
      <c r="AL89" s="418"/>
      <c r="AM89" s="418"/>
      <c r="AN89" s="418"/>
      <c r="AO89" s="418"/>
      <c r="AP89" s="418"/>
      <c r="AQ89" s="418"/>
      <c r="AR89" s="418"/>
      <c r="AS89" s="418"/>
      <c r="AT89" s="418"/>
      <c r="AU89" s="418"/>
      <c r="AV89" s="418"/>
      <c r="AW89" s="418"/>
      <c r="AX89" s="418"/>
      <c r="AY89" s="418"/>
      <c r="AZ89" s="418"/>
      <c r="BA89" s="418"/>
      <c r="BB89" s="418"/>
      <c r="BC89" s="418"/>
      <c r="BD89" s="418"/>
      <c r="BE89" s="418"/>
      <c r="BF89" s="418"/>
      <c r="BG89" s="418"/>
      <c r="BH89" s="418"/>
      <c r="BI89" s="418"/>
      <c r="BJ89" s="418"/>
      <c r="BK89" s="418"/>
      <c r="BL89" s="418"/>
      <c r="BM89" s="418"/>
      <c r="BN89" s="418"/>
      <c r="BO89" s="418"/>
      <c r="BP89" s="418"/>
      <c r="BQ89" s="418"/>
      <c r="BR89" s="418"/>
      <c r="BS89" s="418"/>
      <c r="BT89" s="418"/>
      <c r="BU89" s="418"/>
      <c r="BV89" s="418"/>
      <c r="BW89" s="418"/>
      <c r="BX89" s="418"/>
      <c r="BY89" s="418"/>
      <c r="BZ89" s="418"/>
    </row>
    <row r="90" spans="1:78" s="403" customFormat="1" ht="12.75" x14ac:dyDescent="0.2">
      <c r="A90" s="397" t="s">
        <v>101</v>
      </c>
      <c r="B90" s="466">
        <v>1322699400</v>
      </c>
      <c r="C90" s="399" t="s">
        <v>680</v>
      </c>
      <c r="D90" s="400">
        <v>698</v>
      </c>
      <c r="E90" s="401">
        <v>2040</v>
      </c>
      <c r="F90" s="400"/>
      <c r="G90" s="401"/>
      <c r="H90" s="400"/>
      <c r="I90" s="401"/>
      <c r="J90" s="399" t="s">
        <v>33</v>
      </c>
      <c r="K90" s="402"/>
      <c r="L90" s="399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  <c r="AB90" s="418"/>
      <c r="AC90" s="418"/>
      <c r="AD90" s="418"/>
      <c r="AE90" s="418"/>
      <c r="AF90" s="418"/>
      <c r="AG90" s="418"/>
      <c r="AH90" s="418"/>
      <c r="AI90" s="418"/>
      <c r="AJ90" s="418"/>
      <c r="AK90" s="418"/>
      <c r="AL90" s="418"/>
      <c r="AM90" s="418"/>
      <c r="AN90" s="418"/>
      <c r="AO90" s="418"/>
      <c r="AP90" s="418"/>
      <c r="AQ90" s="418"/>
      <c r="AR90" s="418"/>
      <c r="AS90" s="418"/>
      <c r="AT90" s="418"/>
      <c r="AU90" s="418"/>
      <c r="AV90" s="418"/>
      <c r="AW90" s="418"/>
      <c r="AX90" s="418"/>
      <c r="AY90" s="418"/>
      <c r="AZ90" s="418"/>
      <c r="BA90" s="418"/>
      <c r="BB90" s="418"/>
      <c r="BC90" s="418"/>
      <c r="BD90" s="418"/>
      <c r="BE90" s="418"/>
      <c r="BF90" s="418"/>
      <c r="BG90" s="418"/>
      <c r="BH90" s="418"/>
      <c r="BI90" s="418"/>
      <c r="BJ90" s="418"/>
      <c r="BK90" s="418"/>
      <c r="BL90" s="418"/>
      <c r="BM90" s="418"/>
      <c r="BN90" s="418"/>
      <c r="BO90" s="418"/>
      <c r="BP90" s="418"/>
      <c r="BQ90" s="418"/>
      <c r="BR90" s="418"/>
      <c r="BS90" s="418"/>
      <c r="BT90" s="418"/>
      <c r="BU90" s="418"/>
      <c r="BV90" s="418"/>
      <c r="BW90" s="418"/>
      <c r="BX90" s="418"/>
      <c r="BY90" s="418"/>
      <c r="BZ90" s="418"/>
    </row>
    <row r="91" spans="1:78" s="450" customFormat="1" ht="38.25" x14ac:dyDescent="0.2">
      <c r="A91" s="444" t="s">
        <v>617</v>
      </c>
      <c r="B91" s="445" t="s">
        <v>200</v>
      </c>
      <c r="C91" s="446" t="s">
        <v>681</v>
      </c>
      <c r="D91" s="447">
        <v>286</v>
      </c>
      <c r="E91" s="448">
        <v>34.42</v>
      </c>
      <c r="F91" s="447"/>
      <c r="G91" s="448"/>
      <c r="H91" s="447"/>
      <c r="I91" s="448"/>
      <c r="J91" s="446" t="s">
        <v>33</v>
      </c>
      <c r="K91" s="449"/>
      <c r="L91" s="446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79"/>
      <c r="AH91" s="479"/>
      <c r="AI91" s="479"/>
      <c r="AJ91" s="479"/>
      <c r="AK91" s="479"/>
      <c r="AL91" s="479"/>
      <c r="AM91" s="479"/>
      <c r="AN91" s="479"/>
      <c r="AO91" s="479"/>
      <c r="AP91" s="479"/>
      <c r="AQ91" s="479"/>
      <c r="AR91" s="479"/>
      <c r="AS91" s="479"/>
      <c r="AT91" s="479"/>
      <c r="AU91" s="479"/>
      <c r="AV91" s="479"/>
      <c r="AW91" s="479"/>
      <c r="AX91" s="479"/>
      <c r="AY91" s="479"/>
      <c r="AZ91" s="479"/>
      <c r="BA91" s="479"/>
      <c r="BB91" s="479"/>
      <c r="BC91" s="479"/>
      <c r="BD91" s="479"/>
      <c r="BE91" s="479"/>
      <c r="BF91" s="479"/>
      <c r="BG91" s="479"/>
      <c r="BH91" s="479"/>
      <c r="BI91" s="479"/>
      <c r="BJ91" s="479"/>
      <c r="BK91" s="479"/>
      <c r="BL91" s="479"/>
      <c r="BM91" s="479"/>
      <c r="BN91" s="479"/>
      <c r="BO91" s="479"/>
      <c r="BP91" s="479"/>
      <c r="BQ91" s="479"/>
      <c r="BR91" s="479"/>
      <c r="BS91" s="479"/>
      <c r="BT91" s="479"/>
      <c r="BU91" s="479"/>
      <c r="BV91" s="479"/>
      <c r="BW91" s="479"/>
      <c r="BX91" s="479"/>
      <c r="BY91" s="479"/>
      <c r="BZ91" s="479"/>
    </row>
    <row r="92" spans="1:78" s="403" customFormat="1" ht="25.5" x14ac:dyDescent="0.2">
      <c r="A92" s="397" t="s">
        <v>110</v>
      </c>
      <c r="B92" s="398" t="s">
        <v>207</v>
      </c>
      <c r="C92" s="399" t="s">
        <v>680</v>
      </c>
      <c r="D92" s="400">
        <v>146</v>
      </c>
      <c r="E92" s="401">
        <v>506</v>
      </c>
      <c r="F92" s="400"/>
      <c r="G92" s="401"/>
      <c r="H92" s="400"/>
      <c r="I92" s="401"/>
      <c r="J92" s="399" t="s">
        <v>33</v>
      </c>
      <c r="K92" s="402"/>
      <c r="L92" s="399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  <c r="AA92" s="418"/>
      <c r="AB92" s="418"/>
      <c r="AC92" s="418"/>
      <c r="AD92" s="418"/>
      <c r="AE92" s="418"/>
      <c r="AF92" s="418"/>
      <c r="AG92" s="418"/>
      <c r="AH92" s="418"/>
      <c r="AI92" s="418"/>
      <c r="AJ92" s="418"/>
      <c r="AK92" s="418"/>
      <c r="AL92" s="418"/>
      <c r="AM92" s="418"/>
      <c r="AN92" s="418"/>
      <c r="AO92" s="418"/>
      <c r="AP92" s="418"/>
      <c r="AQ92" s="418"/>
      <c r="AR92" s="418"/>
      <c r="AS92" s="418"/>
      <c r="AT92" s="418"/>
      <c r="AU92" s="418"/>
      <c r="AV92" s="418"/>
      <c r="AW92" s="418"/>
      <c r="AX92" s="418"/>
      <c r="AY92" s="418"/>
      <c r="AZ92" s="418"/>
      <c r="BA92" s="418"/>
      <c r="BB92" s="418"/>
      <c r="BC92" s="418"/>
      <c r="BD92" s="418"/>
      <c r="BE92" s="418"/>
      <c r="BF92" s="418"/>
      <c r="BG92" s="418"/>
      <c r="BH92" s="418"/>
      <c r="BI92" s="418"/>
      <c r="BJ92" s="418"/>
      <c r="BK92" s="418"/>
      <c r="BL92" s="418"/>
      <c r="BM92" s="418"/>
      <c r="BN92" s="418"/>
      <c r="BO92" s="418"/>
      <c r="BP92" s="418"/>
      <c r="BQ92" s="418"/>
      <c r="BR92" s="418"/>
      <c r="BS92" s="418"/>
      <c r="BT92" s="418"/>
      <c r="BU92" s="418"/>
      <c r="BV92" s="418"/>
      <c r="BW92" s="418"/>
      <c r="BX92" s="418"/>
      <c r="BY92" s="418"/>
      <c r="BZ92" s="418"/>
    </row>
    <row r="93" spans="1:78" s="403" customFormat="1" ht="25.5" x14ac:dyDescent="0.2">
      <c r="A93" s="397" t="s">
        <v>111</v>
      </c>
      <c r="B93" s="398" t="s">
        <v>222</v>
      </c>
      <c r="C93" s="399" t="s">
        <v>680</v>
      </c>
      <c r="D93" s="400">
        <v>103</v>
      </c>
      <c r="E93" s="401">
        <v>2016</v>
      </c>
      <c r="F93" s="400"/>
      <c r="G93" s="401"/>
      <c r="H93" s="400"/>
      <c r="I93" s="401"/>
      <c r="J93" s="399" t="s">
        <v>33</v>
      </c>
      <c r="K93" s="402"/>
      <c r="L93" s="399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8"/>
      <c r="BK93" s="418"/>
      <c r="BL93" s="418"/>
      <c r="BM93" s="418"/>
      <c r="BN93" s="418"/>
      <c r="BO93" s="418"/>
      <c r="BP93" s="418"/>
      <c r="BQ93" s="418"/>
      <c r="BR93" s="418"/>
      <c r="BS93" s="418"/>
      <c r="BT93" s="418"/>
      <c r="BU93" s="418"/>
      <c r="BV93" s="418"/>
      <c r="BW93" s="418"/>
      <c r="BX93" s="418"/>
      <c r="BY93" s="418"/>
      <c r="BZ93" s="418"/>
    </row>
    <row r="94" spans="1:78" s="403" customFormat="1" ht="25.5" x14ac:dyDescent="0.2">
      <c r="A94" s="397" t="s">
        <v>117</v>
      </c>
      <c r="B94" s="398" t="s">
        <v>220</v>
      </c>
      <c r="C94" s="399" t="s">
        <v>680</v>
      </c>
      <c r="D94" s="400">
        <v>118</v>
      </c>
      <c r="E94" s="401">
        <v>682</v>
      </c>
      <c r="F94" s="400"/>
      <c r="G94" s="401"/>
      <c r="H94" s="400"/>
      <c r="I94" s="401"/>
      <c r="J94" s="399" t="s">
        <v>33</v>
      </c>
      <c r="K94" s="402"/>
      <c r="L94" s="399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418"/>
      <c r="AD94" s="418"/>
      <c r="AE94" s="418"/>
      <c r="AF94" s="418"/>
      <c r="AG94" s="418"/>
      <c r="AH94" s="418"/>
      <c r="AI94" s="418"/>
      <c r="AJ94" s="418"/>
      <c r="AK94" s="418"/>
      <c r="AL94" s="418"/>
      <c r="AM94" s="418"/>
      <c r="AN94" s="418"/>
      <c r="AO94" s="418"/>
      <c r="AP94" s="418"/>
      <c r="AQ94" s="418"/>
      <c r="AR94" s="418"/>
      <c r="AS94" s="418"/>
      <c r="AT94" s="418"/>
      <c r="AU94" s="418"/>
      <c r="AV94" s="418"/>
      <c r="AW94" s="418"/>
      <c r="AX94" s="418"/>
      <c r="AY94" s="418"/>
      <c r="AZ94" s="418"/>
      <c r="BA94" s="418"/>
      <c r="BB94" s="418"/>
      <c r="BC94" s="418"/>
      <c r="BD94" s="418"/>
      <c r="BE94" s="418"/>
      <c r="BF94" s="418"/>
      <c r="BG94" s="418"/>
      <c r="BH94" s="418"/>
      <c r="BI94" s="418"/>
      <c r="BJ94" s="418"/>
      <c r="BK94" s="418"/>
      <c r="BL94" s="418"/>
      <c r="BM94" s="418"/>
      <c r="BN94" s="418"/>
      <c r="BO94" s="418"/>
      <c r="BP94" s="418"/>
      <c r="BQ94" s="418"/>
      <c r="BR94" s="418"/>
      <c r="BS94" s="418"/>
      <c r="BT94" s="418"/>
      <c r="BU94" s="418"/>
      <c r="BV94" s="418"/>
      <c r="BW94" s="418"/>
      <c r="BX94" s="418"/>
      <c r="BY94" s="418"/>
      <c r="BZ94" s="418"/>
    </row>
    <row r="95" spans="1:78" s="457" customFormat="1" ht="11.25" x14ac:dyDescent="0.2">
      <c r="A95" s="451" t="s">
        <v>682</v>
      </c>
      <c r="B95" s="452">
        <v>1323115001</v>
      </c>
      <c r="C95" s="453" t="s">
        <v>680</v>
      </c>
      <c r="D95" s="454">
        <v>1405</v>
      </c>
      <c r="E95" s="455">
        <v>15960</v>
      </c>
      <c r="F95" s="454"/>
      <c r="G95" s="455"/>
      <c r="H95" s="454"/>
      <c r="I95" s="455"/>
      <c r="J95" s="453"/>
      <c r="K95" s="456"/>
      <c r="L95" s="453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0"/>
      <c r="AC95" s="480"/>
      <c r="AD95" s="480"/>
      <c r="AE95" s="480"/>
      <c r="AF95" s="480"/>
      <c r="AG95" s="480"/>
      <c r="AH95" s="480"/>
      <c r="AI95" s="480"/>
      <c r="AJ95" s="480"/>
      <c r="AK95" s="480"/>
      <c r="AL95" s="480"/>
      <c r="AM95" s="480"/>
      <c r="AN95" s="480"/>
      <c r="AO95" s="480"/>
      <c r="AP95" s="480"/>
      <c r="AQ95" s="480"/>
      <c r="AR95" s="480"/>
      <c r="AS95" s="480"/>
      <c r="AT95" s="480"/>
      <c r="AU95" s="480"/>
      <c r="AV95" s="480"/>
      <c r="AW95" s="480"/>
      <c r="AX95" s="480"/>
      <c r="AY95" s="480"/>
      <c r="AZ95" s="480"/>
      <c r="BA95" s="480"/>
      <c r="BB95" s="480"/>
      <c r="BC95" s="480"/>
      <c r="BD95" s="480"/>
      <c r="BE95" s="480"/>
      <c r="BF95" s="480"/>
      <c r="BG95" s="480"/>
      <c r="BH95" s="480"/>
      <c r="BI95" s="480"/>
      <c r="BJ95" s="480"/>
      <c r="BK95" s="480"/>
      <c r="BL95" s="480"/>
      <c r="BM95" s="480"/>
      <c r="BN95" s="480"/>
      <c r="BO95" s="480"/>
      <c r="BP95" s="480"/>
      <c r="BQ95" s="480"/>
      <c r="BR95" s="480"/>
      <c r="BS95" s="480"/>
      <c r="BT95" s="480"/>
      <c r="BU95" s="480"/>
      <c r="BV95" s="480"/>
      <c r="BW95" s="480"/>
      <c r="BX95" s="480"/>
      <c r="BY95" s="480"/>
      <c r="BZ95" s="480"/>
    </row>
    <row r="96" spans="1:78" s="457" customFormat="1" ht="11.25" x14ac:dyDescent="0.2">
      <c r="A96" s="451" t="s">
        <v>683</v>
      </c>
      <c r="B96" s="452">
        <v>1322673502</v>
      </c>
      <c r="C96" s="453" t="s">
        <v>680</v>
      </c>
      <c r="D96" s="454">
        <v>722</v>
      </c>
      <c r="E96" s="455">
        <v>6740</v>
      </c>
      <c r="F96" s="454"/>
      <c r="G96" s="455"/>
      <c r="H96" s="454"/>
      <c r="I96" s="455"/>
      <c r="J96" s="453"/>
      <c r="K96" s="456"/>
      <c r="L96" s="453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  <c r="AF96" s="480"/>
      <c r="AG96" s="480"/>
      <c r="AH96" s="480"/>
      <c r="AI96" s="480"/>
      <c r="AJ96" s="480"/>
      <c r="AK96" s="480"/>
      <c r="AL96" s="480"/>
      <c r="AM96" s="480"/>
      <c r="AN96" s="480"/>
      <c r="AO96" s="480"/>
      <c r="AP96" s="480"/>
      <c r="AQ96" s="480"/>
      <c r="AR96" s="480"/>
      <c r="AS96" s="480"/>
      <c r="AT96" s="480"/>
      <c r="AU96" s="480"/>
      <c r="AV96" s="480"/>
      <c r="AW96" s="480"/>
      <c r="AX96" s="480"/>
      <c r="AY96" s="480"/>
      <c r="AZ96" s="480"/>
      <c r="BA96" s="480"/>
      <c r="BB96" s="480"/>
      <c r="BC96" s="480"/>
      <c r="BD96" s="480"/>
      <c r="BE96" s="480"/>
      <c r="BF96" s="480"/>
      <c r="BG96" s="480"/>
      <c r="BH96" s="480"/>
      <c r="BI96" s="480"/>
      <c r="BJ96" s="480"/>
      <c r="BK96" s="480"/>
      <c r="BL96" s="480"/>
      <c r="BM96" s="480"/>
      <c r="BN96" s="480"/>
      <c r="BO96" s="480"/>
      <c r="BP96" s="480"/>
      <c r="BQ96" s="480"/>
      <c r="BR96" s="480"/>
      <c r="BS96" s="480"/>
      <c r="BT96" s="480"/>
      <c r="BU96" s="480"/>
      <c r="BV96" s="480"/>
      <c r="BW96" s="480"/>
      <c r="BX96" s="480"/>
      <c r="BY96" s="480"/>
      <c r="BZ96" s="480"/>
    </row>
    <row r="97" spans="1:78" s="457" customFormat="1" ht="22.5" x14ac:dyDescent="0.2">
      <c r="A97" s="451" t="s">
        <v>684</v>
      </c>
      <c r="B97" s="452">
        <v>1322725900</v>
      </c>
      <c r="C97" s="453" t="s">
        <v>680</v>
      </c>
      <c r="D97" s="454">
        <v>574</v>
      </c>
      <c r="E97" s="455">
        <v>3480</v>
      </c>
      <c r="F97" s="454"/>
      <c r="G97" s="455"/>
      <c r="H97" s="454"/>
      <c r="I97" s="455"/>
      <c r="J97" s="453"/>
      <c r="K97" s="456"/>
      <c r="L97" s="453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  <c r="AF97" s="480"/>
      <c r="AG97" s="480"/>
      <c r="AH97" s="480"/>
      <c r="AI97" s="480"/>
      <c r="AJ97" s="480"/>
      <c r="AK97" s="480"/>
      <c r="AL97" s="480"/>
      <c r="AM97" s="480"/>
      <c r="AN97" s="480"/>
      <c r="AO97" s="480"/>
      <c r="AP97" s="480"/>
      <c r="AQ97" s="480"/>
      <c r="AR97" s="480"/>
      <c r="AS97" s="480"/>
      <c r="AT97" s="480"/>
      <c r="AU97" s="480"/>
      <c r="AV97" s="480"/>
      <c r="AW97" s="480"/>
      <c r="AX97" s="480"/>
      <c r="AY97" s="480"/>
      <c r="AZ97" s="480"/>
      <c r="BA97" s="480"/>
      <c r="BB97" s="480"/>
      <c r="BC97" s="480"/>
      <c r="BD97" s="480"/>
      <c r="BE97" s="480"/>
      <c r="BF97" s="480"/>
      <c r="BG97" s="480"/>
      <c r="BH97" s="480"/>
      <c r="BI97" s="480"/>
      <c r="BJ97" s="480"/>
      <c r="BK97" s="480"/>
      <c r="BL97" s="480"/>
      <c r="BM97" s="480"/>
      <c r="BN97" s="480"/>
      <c r="BO97" s="480"/>
      <c r="BP97" s="480"/>
      <c r="BQ97" s="480"/>
      <c r="BR97" s="480"/>
      <c r="BS97" s="480"/>
      <c r="BT97" s="480"/>
      <c r="BU97" s="480"/>
      <c r="BV97" s="480"/>
      <c r="BW97" s="480"/>
      <c r="BX97" s="480"/>
      <c r="BY97" s="480"/>
      <c r="BZ97" s="480"/>
    </row>
    <row r="98" spans="1:78" s="403" customFormat="1" ht="25.5" x14ac:dyDescent="0.2">
      <c r="A98" s="397" t="s">
        <v>118</v>
      </c>
      <c r="B98" s="398" t="s">
        <v>221</v>
      </c>
      <c r="C98" s="443" t="s">
        <v>680</v>
      </c>
      <c r="D98" s="400">
        <v>65</v>
      </c>
      <c r="E98" s="401">
        <v>349</v>
      </c>
      <c r="F98" s="400"/>
      <c r="G98" s="401"/>
      <c r="H98" s="400"/>
      <c r="I98" s="401"/>
      <c r="J98" s="399" t="s">
        <v>33</v>
      </c>
      <c r="K98" s="402"/>
      <c r="L98" s="399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8"/>
      <c r="AB98" s="418"/>
      <c r="AC98" s="418"/>
      <c r="AD98" s="418"/>
      <c r="AE98" s="418"/>
      <c r="AF98" s="418"/>
      <c r="AG98" s="418"/>
      <c r="AH98" s="418"/>
      <c r="AI98" s="418"/>
      <c r="AJ98" s="418"/>
      <c r="AK98" s="418"/>
      <c r="AL98" s="418"/>
      <c r="AM98" s="418"/>
      <c r="AN98" s="418"/>
      <c r="AO98" s="418"/>
      <c r="AP98" s="418"/>
      <c r="AQ98" s="418"/>
      <c r="AR98" s="418"/>
      <c r="AS98" s="418"/>
      <c r="AT98" s="418"/>
      <c r="AU98" s="418"/>
      <c r="AV98" s="418"/>
      <c r="AW98" s="418"/>
      <c r="AX98" s="418"/>
      <c r="AY98" s="418"/>
      <c r="AZ98" s="418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8"/>
      <c r="BL98" s="418"/>
      <c r="BM98" s="418"/>
      <c r="BN98" s="418"/>
      <c r="BO98" s="418"/>
      <c r="BP98" s="418"/>
      <c r="BQ98" s="418"/>
      <c r="BR98" s="418"/>
      <c r="BS98" s="418"/>
      <c r="BT98" s="418"/>
      <c r="BU98" s="418"/>
      <c r="BV98" s="418"/>
      <c r="BW98" s="418"/>
      <c r="BX98" s="418"/>
      <c r="BY98" s="418"/>
      <c r="BZ98" s="418"/>
    </row>
    <row r="99" spans="1:78" s="433" customFormat="1" ht="12.75" x14ac:dyDescent="0.2">
      <c r="A99" s="427" t="s">
        <v>434</v>
      </c>
      <c r="B99" s="428"/>
      <c r="C99" s="429">
        <v>0</v>
      </c>
      <c r="D99" s="430"/>
      <c r="E99" s="431"/>
      <c r="F99" s="430"/>
      <c r="G99" s="431"/>
      <c r="H99" s="430"/>
      <c r="I99" s="431"/>
      <c r="J99" s="429"/>
      <c r="K99" s="432"/>
      <c r="L99" s="409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  <c r="AA99" s="418"/>
      <c r="AB99" s="418"/>
      <c r="AC99" s="418"/>
      <c r="AD99" s="418"/>
      <c r="AE99" s="418"/>
      <c r="AF99" s="418"/>
      <c r="AG99" s="418"/>
      <c r="AH99" s="418"/>
      <c r="AI99" s="418"/>
      <c r="AJ99" s="418"/>
      <c r="AK99" s="418"/>
      <c r="AL99" s="418"/>
      <c r="AM99" s="418"/>
      <c r="AN99" s="418"/>
      <c r="AO99" s="418"/>
      <c r="AP99" s="418"/>
      <c r="AQ99" s="418"/>
      <c r="AR99" s="418"/>
      <c r="AS99" s="418"/>
      <c r="AT99" s="418"/>
      <c r="AU99" s="418"/>
      <c r="AV99" s="418"/>
      <c r="AW99" s="418"/>
      <c r="AX99" s="418"/>
      <c r="AY99" s="418"/>
      <c r="AZ99" s="418"/>
      <c r="BA99" s="418"/>
      <c r="BB99" s="418"/>
      <c r="BC99" s="418"/>
      <c r="BD99" s="418"/>
      <c r="BE99" s="418"/>
      <c r="BF99" s="418"/>
      <c r="BG99" s="418"/>
      <c r="BH99" s="418"/>
      <c r="BI99" s="418"/>
      <c r="BJ99" s="418"/>
      <c r="BK99" s="418"/>
      <c r="BL99" s="418"/>
      <c r="BM99" s="418"/>
      <c r="BN99" s="418"/>
      <c r="BO99" s="418"/>
      <c r="BP99" s="418"/>
      <c r="BQ99" s="418"/>
      <c r="BR99" s="418"/>
      <c r="BS99" s="418"/>
      <c r="BT99" s="418"/>
      <c r="BU99" s="418"/>
      <c r="BV99" s="418"/>
      <c r="BW99" s="418"/>
      <c r="BX99" s="418"/>
      <c r="BY99" s="418"/>
      <c r="BZ99" s="418"/>
    </row>
    <row r="100" spans="1:78" s="403" customFormat="1" ht="12.75" x14ac:dyDescent="0.2">
      <c r="A100" s="397" t="s">
        <v>65</v>
      </c>
      <c r="B100" s="398" t="s">
        <v>163</v>
      </c>
      <c r="C100" s="399" t="s">
        <v>680</v>
      </c>
      <c r="D100" s="400"/>
      <c r="E100" s="401"/>
      <c r="F100" s="400"/>
      <c r="G100" s="401"/>
      <c r="H100" s="400">
        <v>337.92</v>
      </c>
      <c r="I100" s="401">
        <v>476</v>
      </c>
      <c r="J100" s="399"/>
      <c r="K100" s="402"/>
      <c r="L100" s="399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418"/>
      <c r="AD100" s="418"/>
      <c r="AE100" s="418"/>
      <c r="AF100" s="418"/>
      <c r="AG100" s="418"/>
      <c r="AH100" s="418"/>
      <c r="AI100" s="418"/>
      <c r="AJ100" s="418"/>
      <c r="AK100" s="418"/>
      <c r="AL100" s="418"/>
      <c r="AM100" s="418"/>
      <c r="AN100" s="418"/>
      <c r="AO100" s="418"/>
      <c r="AP100" s="418"/>
      <c r="AQ100" s="418"/>
      <c r="AR100" s="418"/>
      <c r="AS100" s="418"/>
      <c r="AT100" s="418"/>
      <c r="AU100" s="418"/>
      <c r="AV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8"/>
      <c r="BL100" s="418"/>
      <c r="BM100" s="418"/>
      <c r="BN100" s="418"/>
      <c r="BO100" s="418"/>
      <c r="BP100" s="418"/>
      <c r="BQ100" s="418"/>
      <c r="BR100" s="418"/>
      <c r="BS100" s="418"/>
      <c r="BT100" s="418"/>
      <c r="BU100" s="418"/>
      <c r="BV100" s="418"/>
      <c r="BW100" s="418"/>
      <c r="BX100" s="418"/>
      <c r="BY100" s="418"/>
      <c r="BZ100" s="418"/>
    </row>
    <row r="101" spans="1:78" s="403" customFormat="1" ht="12.75" x14ac:dyDescent="0.2">
      <c r="A101" s="397" t="s">
        <v>37</v>
      </c>
      <c r="B101" s="398" t="s">
        <v>190</v>
      </c>
      <c r="C101" s="399" t="s">
        <v>680</v>
      </c>
      <c r="D101" s="400"/>
      <c r="E101" s="401"/>
      <c r="F101" s="400"/>
      <c r="G101" s="401"/>
      <c r="H101" s="400">
        <v>285.89999999999998</v>
      </c>
      <c r="I101" s="401">
        <v>408</v>
      </c>
      <c r="J101" s="399"/>
      <c r="K101" s="402"/>
      <c r="L101" s="399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  <c r="AF101" s="418"/>
      <c r="AG101" s="418"/>
      <c r="AH101" s="418"/>
      <c r="AI101" s="418"/>
      <c r="AJ101" s="418"/>
      <c r="AK101" s="418"/>
      <c r="AL101" s="418"/>
      <c r="AM101" s="418"/>
      <c r="AN101" s="418"/>
      <c r="AO101" s="418"/>
      <c r="AP101" s="418"/>
      <c r="AQ101" s="418"/>
      <c r="AR101" s="418"/>
      <c r="AS101" s="418"/>
      <c r="AT101" s="418"/>
      <c r="AU101" s="418"/>
      <c r="AV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8"/>
      <c r="BL101" s="418"/>
      <c r="BM101" s="418"/>
      <c r="BN101" s="418"/>
      <c r="BO101" s="418"/>
      <c r="BP101" s="418"/>
      <c r="BQ101" s="418"/>
      <c r="BR101" s="418"/>
      <c r="BS101" s="418"/>
      <c r="BT101" s="418"/>
      <c r="BU101" s="418"/>
      <c r="BV101" s="418"/>
      <c r="BW101" s="418"/>
      <c r="BX101" s="418"/>
      <c r="BY101" s="418"/>
      <c r="BZ101" s="418"/>
    </row>
    <row r="102" spans="1:78" s="403" customFormat="1" ht="12.75" x14ac:dyDescent="0.2">
      <c r="A102" s="397" t="s">
        <v>71</v>
      </c>
      <c r="B102" s="398" t="s">
        <v>188</v>
      </c>
      <c r="C102" s="399" t="s">
        <v>680</v>
      </c>
      <c r="D102" s="400"/>
      <c r="E102" s="401"/>
      <c r="F102" s="400"/>
      <c r="G102" s="401"/>
      <c r="H102" s="400">
        <v>75.31</v>
      </c>
      <c r="I102" s="401">
        <v>98</v>
      </c>
      <c r="J102" s="399"/>
      <c r="K102" s="402"/>
      <c r="L102" s="399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  <c r="AF102" s="418"/>
      <c r="AG102" s="418"/>
      <c r="AH102" s="418"/>
      <c r="AI102" s="418"/>
      <c r="AJ102" s="418"/>
      <c r="AK102" s="418"/>
      <c r="AL102" s="418"/>
      <c r="AM102" s="418"/>
      <c r="AN102" s="418"/>
      <c r="AO102" s="418"/>
      <c r="AP102" s="418"/>
      <c r="AQ102" s="418"/>
      <c r="AR102" s="418"/>
      <c r="AS102" s="418"/>
      <c r="AT102" s="418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8"/>
      <c r="BL102" s="418"/>
      <c r="BM102" s="418"/>
      <c r="BN102" s="418"/>
      <c r="BO102" s="418"/>
      <c r="BP102" s="418"/>
      <c r="BQ102" s="418"/>
      <c r="BR102" s="418"/>
      <c r="BS102" s="418"/>
      <c r="BT102" s="418"/>
      <c r="BU102" s="418"/>
      <c r="BV102" s="418"/>
      <c r="BW102" s="418"/>
      <c r="BX102" s="418"/>
      <c r="BY102" s="418"/>
      <c r="BZ102" s="418"/>
    </row>
    <row r="103" spans="1:78" s="403" customFormat="1" ht="12.75" x14ac:dyDescent="0.2">
      <c r="A103" s="397" t="s">
        <v>72</v>
      </c>
      <c r="B103" s="398" t="s">
        <v>187</v>
      </c>
      <c r="C103" s="399" t="s">
        <v>680</v>
      </c>
      <c r="D103" s="400"/>
      <c r="E103" s="401"/>
      <c r="F103" s="400"/>
      <c r="G103" s="401"/>
      <c r="H103" s="400">
        <v>56.62</v>
      </c>
      <c r="I103" s="401">
        <v>93</v>
      </c>
      <c r="J103" s="399"/>
      <c r="K103" s="402"/>
      <c r="L103" s="399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  <c r="AA103" s="418"/>
      <c r="AB103" s="418"/>
      <c r="AC103" s="418"/>
      <c r="AD103" s="418"/>
      <c r="AE103" s="418"/>
      <c r="AF103" s="418"/>
      <c r="AG103" s="418"/>
      <c r="AH103" s="418"/>
      <c r="AI103" s="418"/>
      <c r="AJ103" s="418"/>
      <c r="AK103" s="418"/>
      <c r="AL103" s="418"/>
      <c r="AM103" s="418"/>
      <c r="AN103" s="418"/>
      <c r="AO103" s="418"/>
      <c r="AP103" s="418"/>
      <c r="AQ103" s="418"/>
      <c r="AR103" s="418"/>
      <c r="AS103" s="418"/>
      <c r="AT103" s="418"/>
      <c r="AU103" s="418"/>
      <c r="AV103" s="418"/>
      <c r="AW103" s="418"/>
      <c r="AX103" s="418"/>
      <c r="AY103" s="418"/>
      <c r="AZ103" s="418"/>
      <c r="BA103" s="418"/>
      <c r="BB103" s="418"/>
      <c r="BC103" s="418"/>
      <c r="BD103" s="418"/>
      <c r="BE103" s="418"/>
      <c r="BF103" s="418"/>
      <c r="BG103" s="418"/>
      <c r="BH103" s="418"/>
      <c r="BI103" s="418"/>
      <c r="BJ103" s="418"/>
      <c r="BK103" s="418"/>
      <c r="BL103" s="418"/>
      <c r="BM103" s="418"/>
      <c r="BN103" s="418"/>
      <c r="BO103" s="418"/>
      <c r="BP103" s="418"/>
      <c r="BQ103" s="418"/>
      <c r="BR103" s="418"/>
      <c r="BS103" s="418"/>
      <c r="BT103" s="418"/>
      <c r="BU103" s="418"/>
      <c r="BV103" s="418"/>
      <c r="BW103" s="418"/>
      <c r="BX103" s="418"/>
      <c r="BY103" s="418"/>
      <c r="BZ103" s="418"/>
    </row>
    <row r="104" spans="1:78" s="403" customFormat="1" ht="12.75" x14ac:dyDescent="0.2">
      <c r="A104" s="397" t="s">
        <v>73</v>
      </c>
      <c r="B104" s="398" t="s">
        <v>171</v>
      </c>
      <c r="C104" s="399" t="s">
        <v>680</v>
      </c>
      <c r="D104" s="400"/>
      <c r="E104" s="401"/>
      <c r="F104" s="400"/>
      <c r="G104" s="401"/>
      <c r="H104" s="400">
        <v>82.22</v>
      </c>
      <c r="I104" s="401">
        <v>109</v>
      </c>
      <c r="J104" s="399"/>
      <c r="K104" s="402"/>
      <c r="L104" s="399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  <c r="AB104" s="418"/>
      <c r="AC104" s="418"/>
      <c r="AD104" s="418"/>
      <c r="AE104" s="418"/>
      <c r="AF104" s="418"/>
      <c r="AG104" s="418"/>
      <c r="AH104" s="418"/>
      <c r="AI104" s="418"/>
      <c r="AJ104" s="418"/>
      <c r="AK104" s="418"/>
      <c r="AL104" s="418"/>
      <c r="AM104" s="418"/>
      <c r="AN104" s="418"/>
      <c r="AO104" s="418"/>
      <c r="AP104" s="418"/>
      <c r="AQ104" s="418"/>
      <c r="AR104" s="418"/>
      <c r="AS104" s="418"/>
      <c r="AT104" s="418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8"/>
      <c r="BL104" s="418"/>
      <c r="BM104" s="418"/>
      <c r="BN104" s="418"/>
      <c r="BO104" s="418"/>
      <c r="BP104" s="418"/>
      <c r="BQ104" s="418"/>
      <c r="BR104" s="418"/>
      <c r="BS104" s="418"/>
      <c r="BT104" s="418"/>
      <c r="BU104" s="418"/>
      <c r="BV104" s="418"/>
      <c r="BW104" s="418"/>
      <c r="BX104" s="418"/>
      <c r="BY104" s="418"/>
      <c r="BZ104" s="418"/>
    </row>
    <row r="105" spans="1:78" s="403" customFormat="1" ht="12.75" x14ac:dyDescent="0.2">
      <c r="A105" s="397" t="s">
        <v>74</v>
      </c>
      <c r="B105" s="398" t="s">
        <v>170</v>
      </c>
      <c r="C105" s="399" t="s">
        <v>680</v>
      </c>
      <c r="D105" s="400"/>
      <c r="E105" s="401"/>
      <c r="F105" s="400"/>
      <c r="G105" s="401"/>
      <c r="H105" s="400">
        <v>33.659999999999997</v>
      </c>
      <c r="I105" s="401">
        <v>3</v>
      </c>
      <c r="J105" s="399"/>
      <c r="K105" s="402"/>
      <c r="L105" s="399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  <c r="AB105" s="418"/>
      <c r="AC105" s="418"/>
      <c r="AD105" s="418"/>
      <c r="AE105" s="418"/>
      <c r="AF105" s="418"/>
      <c r="AG105" s="418"/>
      <c r="AH105" s="418"/>
      <c r="AI105" s="418"/>
      <c r="AJ105" s="418"/>
      <c r="AK105" s="418"/>
      <c r="AL105" s="418"/>
      <c r="AM105" s="418"/>
      <c r="AN105" s="418"/>
      <c r="AO105" s="418"/>
      <c r="AP105" s="418"/>
      <c r="AQ105" s="418"/>
      <c r="AR105" s="418"/>
      <c r="AS105" s="418"/>
      <c r="AT105" s="418"/>
      <c r="AU105" s="418"/>
      <c r="AV105" s="418"/>
      <c r="AW105" s="418"/>
      <c r="AX105" s="418"/>
      <c r="AY105" s="418"/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18"/>
      <c r="BK105" s="418"/>
      <c r="BL105" s="418"/>
      <c r="BM105" s="418"/>
      <c r="BN105" s="418"/>
      <c r="BO105" s="418"/>
      <c r="BP105" s="418"/>
      <c r="BQ105" s="418"/>
      <c r="BR105" s="418"/>
      <c r="BS105" s="418"/>
      <c r="BT105" s="418"/>
      <c r="BU105" s="418"/>
      <c r="BV105" s="418"/>
      <c r="BW105" s="418"/>
      <c r="BX105" s="418"/>
      <c r="BY105" s="418"/>
      <c r="BZ105" s="418"/>
    </row>
    <row r="106" spans="1:78" s="403" customFormat="1" ht="25.5" x14ac:dyDescent="0.2">
      <c r="A106" s="397" t="s">
        <v>75</v>
      </c>
      <c r="B106" s="398" t="s">
        <v>189</v>
      </c>
      <c r="C106" s="399" t="s">
        <v>680</v>
      </c>
      <c r="D106" s="400"/>
      <c r="E106" s="401"/>
      <c r="F106" s="400"/>
      <c r="G106" s="401"/>
      <c r="H106" s="400">
        <v>49.68</v>
      </c>
      <c r="I106" s="401">
        <v>50</v>
      </c>
      <c r="J106" s="399"/>
      <c r="K106" s="402"/>
      <c r="L106" s="399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  <c r="AB106" s="418"/>
      <c r="AC106" s="418"/>
      <c r="AD106" s="418"/>
      <c r="AE106" s="418"/>
      <c r="AF106" s="418"/>
      <c r="AG106" s="418"/>
      <c r="AH106" s="418"/>
      <c r="AI106" s="418"/>
      <c r="AJ106" s="418"/>
      <c r="AK106" s="418"/>
      <c r="AL106" s="418"/>
      <c r="AM106" s="418"/>
      <c r="AN106" s="418"/>
      <c r="AO106" s="418"/>
      <c r="AP106" s="418"/>
      <c r="AQ106" s="418"/>
      <c r="AR106" s="418"/>
      <c r="AS106" s="418"/>
      <c r="AT106" s="418"/>
      <c r="AU106" s="418"/>
      <c r="AV106" s="418"/>
      <c r="AW106" s="418"/>
      <c r="AX106" s="418"/>
      <c r="AY106" s="418"/>
      <c r="AZ106" s="418"/>
      <c r="BA106" s="418"/>
      <c r="BB106" s="418"/>
      <c r="BC106" s="418"/>
      <c r="BD106" s="418"/>
      <c r="BE106" s="418"/>
      <c r="BF106" s="418"/>
      <c r="BG106" s="418"/>
      <c r="BH106" s="418"/>
      <c r="BI106" s="418"/>
      <c r="BJ106" s="418"/>
      <c r="BK106" s="418"/>
      <c r="BL106" s="418"/>
      <c r="BM106" s="418"/>
      <c r="BN106" s="418"/>
      <c r="BO106" s="418"/>
      <c r="BP106" s="418"/>
      <c r="BQ106" s="418"/>
      <c r="BR106" s="418"/>
      <c r="BS106" s="418"/>
      <c r="BT106" s="418"/>
      <c r="BU106" s="418"/>
      <c r="BV106" s="418"/>
      <c r="BW106" s="418"/>
      <c r="BX106" s="418"/>
      <c r="BY106" s="418"/>
      <c r="BZ106" s="418"/>
    </row>
    <row r="107" spans="1:78" s="403" customFormat="1" ht="25.5" x14ac:dyDescent="0.2">
      <c r="A107" s="397" t="s">
        <v>76</v>
      </c>
      <c r="B107" s="398" t="s">
        <v>169</v>
      </c>
      <c r="C107" s="399" t="s">
        <v>680</v>
      </c>
      <c r="D107" s="400"/>
      <c r="E107" s="401"/>
      <c r="F107" s="400"/>
      <c r="G107" s="401"/>
      <c r="H107" s="400">
        <v>33.659999999999997</v>
      </c>
      <c r="I107" s="401">
        <v>1</v>
      </c>
      <c r="J107" s="399"/>
      <c r="K107" s="402"/>
      <c r="L107" s="399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8"/>
      <c r="AI107" s="418"/>
      <c r="AJ107" s="418"/>
      <c r="AK107" s="418"/>
      <c r="AL107" s="418"/>
      <c r="AM107" s="418"/>
      <c r="AN107" s="418"/>
      <c r="AO107" s="418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8"/>
      <c r="BL107" s="418"/>
      <c r="BM107" s="418"/>
      <c r="BN107" s="418"/>
      <c r="BO107" s="418"/>
      <c r="BP107" s="418"/>
      <c r="BQ107" s="418"/>
      <c r="BR107" s="418"/>
      <c r="BS107" s="418"/>
      <c r="BT107" s="418"/>
      <c r="BU107" s="418"/>
      <c r="BV107" s="418"/>
      <c r="BW107" s="418"/>
      <c r="BX107" s="418"/>
      <c r="BY107" s="418"/>
      <c r="BZ107" s="418"/>
    </row>
    <row r="108" spans="1:78" s="403" customFormat="1" ht="25.5" x14ac:dyDescent="0.2">
      <c r="A108" s="397" t="s">
        <v>77</v>
      </c>
      <c r="B108" s="398" t="s">
        <v>168</v>
      </c>
      <c r="C108" s="399" t="s">
        <v>680</v>
      </c>
      <c r="D108" s="400"/>
      <c r="E108" s="401"/>
      <c r="F108" s="400"/>
      <c r="G108" s="401"/>
      <c r="H108" s="400">
        <v>271.3</v>
      </c>
      <c r="I108" s="401">
        <v>388</v>
      </c>
      <c r="J108" s="399"/>
      <c r="K108" s="402"/>
      <c r="L108" s="399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  <c r="AB108" s="418"/>
      <c r="AC108" s="418"/>
      <c r="AD108" s="418"/>
      <c r="AE108" s="418"/>
      <c r="AF108" s="418"/>
      <c r="AG108" s="418"/>
      <c r="AH108" s="418"/>
      <c r="AI108" s="418"/>
      <c r="AJ108" s="418"/>
      <c r="AK108" s="418"/>
      <c r="AL108" s="418"/>
      <c r="AM108" s="418"/>
      <c r="AN108" s="418"/>
      <c r="AO108" s="418"/>
      <c r="AP108" s="418"/>
      <c r="AQ108" s="418"/>
      <c r="AR108" s="418"/>
      <c r="AS108" s="418"/>
      <c r="AT108" s="418"/>
      <c r="AU108" s="418"/>
      <c r="AV108" s="418"/>
      <c r="AW108" s="418"/>
      <c r="AX108" s="418"/>
      <c r="AY108" s="418"/>
      <c r="AZ108" s="418"/>
      <c r="BA108" s="418"/>
      <c r="BB108" s="418"/>
      <c r="BC108" s="418"/>
      <c r="BD108" s="418"/>
      <c r="BE108" s="418"/>
      <c r="BF108" s="418"/>
      <c r="BG108" s="418"/>
      <c r="BH108" s="418"/>
      <c r="BI108" s="418"/>
      <c r="BJ108" s="418"/>
      <c r="BK108" s="418"/>
      <c r="BL108" s="418"/>
      <c r="BM108" s="418"/>
      <c r="BN108" s="418"/>
      <c r="BO108" s="418"/>
      <c r="BP108" s="418"/>
      <c r="BQ108" s="418"/>
      <c r="BR108" s="418"/>
      <c r="BS108" s="418"/>
      <c r="BT108" s="418"/>
      <c r="BU108" s="418"/>
      <c r="BV108" s="418"/>
      <c r="BW108" s="418"/>
      <c r="BX108" s="418"/>
      <c r="BY108" s="418"/>
      <c r="BZ108" s="418"/>
    </row>
    <row r="109" spans="1:78" s="403" customFormat="1" ht="25.5" x14ac:dyDescent="0.2">
      <c r="A109" s="397" t="s">
        <v>78</v>
      </c>
      <c r="B109" s="398" t="s">
        <v>197</v>
      </c>
      <c r="C109" s="399" t="s">
        <v>680</v>
      </c>
      <c r="D109" s="400"/>
      <c r="E109" s="401"/>
      <c r="F109" s="400"/>
      <c r="G109" s="401"/>
      <c r="H109" s="400">
        <v>33.659999999999997</v>
      </c>
      <c r="I109" s="401">
        <v>17</v>
      </c>
      <c r="J109" s="399"/>
      <c r="K109" s="402"/>
      <c r="L109" s="399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  <c r="AB109" s="418"/>
      <c r="AC109" s="418"/>
      <c r="AD109" s="418"/>
      <c r="AE109" s="418"/>
      <c r="AF109" s="418"/>
      <c r="AG109" s="418"/>
      <c r="AH109" s="418"/>
      <c r="AI109" s="418"/>
      <c r="AJ109" s="418"/>
      <c r="AK109" s="418"/>
      <c r="AL109" s="418"/>
      <c r="AM109" s="418"/>
      <c r="AN109" s="418"/>
      <c r="AO109" s="418"/>
      <c r="AP109" s="418"/>
      <c r="AQ109" s="418"/>
      <c r="AR109" s="418"/>
      <c r="AS109" s="418"/>
      <c r="AT109" s="418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8"/>
      <c r="BF109" s="418"/>
      <c r="BG109" s="418"/>
      <c r="BH109" s="418"/>
      <c r="BI109" s="418"/>
      <c r="BJ109" s="418"/>
      <c r="BK109" s="418"/>
      <c r="BL109" s="418"/>
      <c r="BM109" s="418"/>
      <c r="BN109" s="418"/>
      <c r="BO109" s="418"/>
      <c r="BP109" s="418"/>
      <c r="BQ109" s="418"/>
      <c r="BR109" s="418"/>
      <c r="BS109" s="418"/>
      <c r="BT109" s="418"/>
      <c r="BU109" s="418"/>
      <c r="BV109" s="418"/>
      <c r="BW109" s="418"/>
      <c r="BX109" s="418"/>
      <c r="BY109" s="418"/>
      <c r="BZ109" s="418"/>
    </row>
    <row r="110" spans="1:78" s="403" customFormat="1" ht="25.5" x14ac:dyDescent="0.2">
      <c r="A110" s="397" t="s">
        <v>79</v>
      </c>
      <c r="B110" s="398" t="s">
        <v>167</v>
      </c>
      <c r="C110" s="443" t="s">
        <v>680</v>
      </c>
      <c r="D110" s="400"/>
      <c r="E110" s="401"/>
      <c r="F110" s="400"/>
      <c r="G110" s="401"/>
      <c r="H110" s="400">
        <v>33.659999999999997</v>
      </c>
      <c r="I110" s="401">
        <v>0</v>
      </c>
      <c r="J110" s="399"/>
      <c r="K110" s="402"/>
      <c r="L110" s="399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  <c r="AB110" s="418"/>
      <c r="AC110" s="418"/>
      <c r="AD110" s="418"/>
      <c r="AE110" s="418"/>
      <c r="AF110" s="418"/>
      <c r="AG110" s="418"/>
      <c r="AH110" s="418"/>
      <c r="AI110" s="418"/>
      <c r="AJ110" s="418"/>
      <c r="AK110" s="418"/>
      <c r="AL110" s="418"/>
      <c r="AM110" s="418"/>
      <c r="AN110" s="418"/>
      <c r="AO110" s="418"/>
      <c r="AP110" s="418"/>
      <c r="AQ110" s="418"/>
      <c r="AR110" s="418"/>
      <c r="AS110" s="418"/>
      <c r="AT110" s="418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8"/>
      <c r="BL110" s="418"/>
      <c r="BM110" s="418"/>
      <c r="BN110" s="418"/>
      <c r="BO110" s="418"/>
      <c r="BP110" s="418"/>
      <c r="BQ110" s="418"/>
      <c r="BR110" s="418"/>
      <c r="BS110" s="418"/>
      <c r="BT110" s="418"/>
      <c r="BU110" s="418"/>
      <c r="BV110" s="418"/>
      <c r="BW110" s="418"/>
      <c r="BX110" s="418"/>
      <c r="BY110" s="418"/>
      <c r="BZ110" s="418"/>
    </row>
    <row r="111" spans="1:78" s="403" customFormat="1" ht="64.5" x14ac:dyDescent="0.25">
      <c r="A111" s="458" t="s">
        <v>80</v>
      </c>
      <c r="B111" s="459" t="s">
        <v>177</v>
      </c>
      <c r="C111" s="460" t="s">
        <v>680</v>
      </c>
      <c r="D111" s="461"/>
      <c r="E111" s="462"/>
      <c r="F111" s="461"/>
      <c r="G111" s="462"/>
      <c r="H111" s="461">
        <v>33.659999999999997</v>
      </c>
      <c r="I111" s="462">
        <v>0</v>
      </c>
      <c r="J111" s="463"/>
      <c r="K111" s="464" t="s">
        <v>315</v>
      </c>
      <c r="L111" s="399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  <c r="AA111" s="418"/>
      <c r="AB111" s="418"/>
      <c r="AC111" s="418"/>
      <c r="AD111" s="418"/>
      <c r="AE111" s="418"/>
      <c r="AF111" s="418"/>
      <c r="AG111" s="418"/>
      <c r="AH111" s="418"/>
      <c r="AI111" s="418"/>
      <c r="AJ111" s="418"/>
      <c r="AK111" s="418"/>
      <c r="AL111" s="418"/>
      <c r="AM111" s="418"/>
      <c r="AN111" s="418"/>
      <c r="AO111" s="418"/>
      <c r="AP111" s="418"/>
      <c r="AQ111" s="418"/>
      <c r="AR111" s="418"/>
      <c r="AS111" s="418"/>
      <c r="AT111" s="418"/>
      <c r="AU111" s="418"/>
      <c r="AV111" s="418"/>
      <c r="AW111" s="418"/>
      <c r="AX111" s="418"/>
      <c r="AY111" s="418"/>
      <c r="AZ111" s="418"/>
      <c r="BA111" s="418"/>
      <c r="BB111" s="418"/>
      <c r="BC111" s="418"/>
      <c r="BD111" s="418"/>
      <c r="BE111" s="418"/>
      <c r="BF111" s="418"/>
      <c r="BG111" s="418"/>
      <c r="BH111" s="418"/>
      <c r="BI111" s="418"/>
      <c r="BJ111" s="418"/>
      <c r="BK111" s="418"/>
      <c r="BL111" s="418"/>
      <c r="BM111" s="418"/>
      <c r="BN111" s="418"/>
      <c r="BO111" s="418"/>
      <c r="BP111" s="418"/>
      <c r="BQ111" s="418"/>
      <c r="BR111" s="418"/>
      <c r="BS111" s="418"/>
      <c r="BT111" s="418"/>
      <c r="BU111" s="418"/>
      <c r="BV111" s="418"/>
      <c r="BW111" s="418"/>
      <c r="BX111" s="418"/>
      <c r="BY111" s="418"/>
      <c r="BZ111" s="418"/>
    </row>
    <row r="112" spans="1:78" s="403" customFormat="1" ht="12.75" x14ac:dyDescent="0.2">
      <c r="A112" s="397" t="s">
        <v>81</v>
      </c>
      <c r="B112" s="398" t="s">
        <v>180</v>
      </c>
      <c r="C112" s="399" t="s">
        <v>680</v>
      </c>
      <c r="D112" s="400"/>
      <c r="E112" s="401"/>
      <c r="F112" s="400"/>
      <c r="G112" s="401"/>
      <c r="H112" s="400">
        <v>33.659999999999997</v>
      </c>
      <c r="I112" s="401">
        <v>0</v>
      </c>
      <c r="J112" s="399"/>
      <c r="K112" s="402"/>
      <c r="L112" s="399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418"/>
      <c r="AD112" s="418"/>
      <c r="AE112" s="418"/>
      <c r="AF112" s="418"/>
      <c r="AG112" s="418"/>
      <c r="AH112" s="418"/>
      <c r="AI112" s="418"/>
      <c r="AJ112" s="418"/>
      <c r="AK112" s="418"/>
      <c r="AL112" s="418"/>
      <c r="AM112" s="418"/>
      <c r="AN112" s="418"/>
      <c r="AO112" s="418"/>
      <c r="AP112" s="418"/>
      <c r="AQ112" s="418"/>
      <c r="AR112" s="418"/>
      <c r="AS112" s="418"/>
      <c r="AT112" s="418"/>
      <c r="AU112" s="418"/>
      <c r="AV112" s="418"/>
      <c r="AW112" s="418"/>
      <c r="AX112" s="418"/>
      <c r="AY112" s="418"/>
      <c r="AZ112" s="418"/>
      <c r="BA112" s="418"/>
      <c r="BB112" s="418"/>
      <c r="BC112" s="418"/>
      <c r="BD112" s="418"/>
      <c r="BE112" s="418"/>
      <c r="BF112" s="418"/>
      <c r="BG112" s="418"/>
      <c r="BH112" s="418"/>
      <c r="BI112" s="418"/>
      <c r="BJ112" s="418"/>
      <c r="BK112" s="418"/>
      <c r="BL112" s="418"/>
      <c r="BM112" s="418"/>
      <c r="BN112" s="418"/>
      <c r="BO112" s="418"/>
      <c r="BP112" s="418"/>
      <c r="BQ112" s="418"/>
      <c r="BR112" s="418"/>
      <c r="BS112" s="418"/>
      <c r="BT112" s="418"/>
      <c r="BU112" s="418"/>
      <c r="BV112" s="418"/>
      <c r="BW112" s="418"/>
      <c r="BX112" s="418"/>
      <c r="BY112" s="418"/>
      <c r="BZ112" s="418"/>
    </row>
    <row r="113" spans="1:78" s="403" customFormat="1" ht="12.75" x14ac:dyDescent="0.2">
      <c r="A113" s="397" t="s">
        <v>82</v>
      </c>
      <c r="B113" s="398" t="s">
        <v>179</v>
      </c>
      <c r="C113" s="399" t="s">
        <v>680</v>
      </c>
      <c r="D113" s="400"/>
      <c r="E113" s="401"/>
      <c r="F113" s="400"/>
      <c r="G113" s="401"/>
      <c r="H113" s="400">
        <v>122.46</v>
      </c>
      <c r="I113" s="401">
        <v>171</v>
      </c>
      <c r="J113" s="399"/>
      <c r="K113" s="402"/>
      <c r="L113" s="399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  <c r="AA113" s="418"/>
      <c r="AB113" s="418"/>
      <c r="AC113" s="418"/>
      <c r="AD113" s="418"/>
      <c r="AE113" s="418"/>
      <c r="AF113" s="418"/>
      <c r="AG113" s="418"/>
      <c r="AH113" s="418"/>
      <c r="AI113" s="418"/>
      <c r="AJ113" s="418"/>
      <c r="AK113" s="418"/>
      <c r="AL113" s="418"/>
      <c r="AM113" s="418"/>
      <c r="AN113" s="418"/>
      <c r="AO113" s="418"/>
      <c r="AP113" s="418"/>
      <c r="AQ113" s="418"/>
      <c r="AR113" s="418"/>
      <c r="AS113" s="418"/>
      <c r="AT113" s="418"/>
      <c r="AU113" s="418"/>
      <c r="AV113" s="418"/>
      <c r="AW113" s="418"/>
      <c r="AX113" s="418"/>
      <c r="AY113" s="418"/>
      <c r="AZ113" s="418"/>
      <c r="BA113" s="418"/>
      <c r="BB113" s="418"/>
      <c r="BC113" s="418"/>
      <c r="BD113" s="418"/>
      <c r="BE113" s="418"/>
      <c r="BF113" s="418"/>
      <c r="BG113" s="418"/>
      <c r="BH113" s="418"/>
      <c r="BI113" s="418"/>
      <c r="BJ113" s="418"/>
      <c r="BK113" s="418"/>
      <c r="BL113" s="418"/>
      <c r="BM113" s="418"/>
      <c r="BN113" s="418"/>
      <c r="BO113" s="418"/>
      <c r="BP113" s="418"/>
      <c r="BQ113" s="418"/>
      <c r="BR113" s="418"/>
      <c r="BS113" s="418"/>
      <c r="BT113" s="418"/>
      <c r="BU113" s="418"/>
      <c r="BV113" s="418"/>
      <c r="BW113" s="418"/>
      <c r="BX113" s="418"/>
      <c r="BY113" s="418"/>
      <c r="BZ113" s="418"/>
    </row>
    <row r="114" spans="1:78" s="403" customFormat="1" ht="12.75" x14ac:dyDescent="0.2">
      <c r="A114" s="397" t="s">
        <v>83</v>
      </c>
      <c r="B114" s="398" t="s">
        <v>178</v>
      </c>
      <c r="C114" s="399" t="s">
        <v>680</v>
      </c>
      <c r="D114" s="400"/>
      <c r="E114" s="401"/>
      <c r="F114" s="400"/>
      <c r="G114" s="401"/>
      <c r="H114" s="400">
        <v>33.659999999999997</v>
      </c>
      <c r="I114" s="401">
        <v>1</v>
      </c>
      <c r="J114" s="399"/>
      <c r="K114" s="402"/>
      <c r="L114" s="399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  <c r="AA114" s="418"/>
      <c r="AB114" s="418"/>
      <c r="AC114" s="418"/>
      <c r="AD114" s="418"/>
      <c r="AE114" s="418"/>
      <c r="AF114" s="418"/>
      <c r="AG114" s="418"/>
      <c r="AH114" s="418"/>
      <c r="AI114" s="418"/>
      <c r="AJ114" s="418"/>
      <c r="AK114" s="418"/>
      <c r="AL114" s="418"/>
      <c r="AM114" s="418"/>
      <c r="AN114" s="418"/>
      <c r="AO114" s="418"/>
      <c r="AP114" s="418"/>
      <c r="AQ114" s="418"/>
      <c r="AR114" s="418"/>
      <c r="AS114" s="418"/>
      <c r="AT114" s="418"/>
      <c r="AU114" s="418"/>
      <c r="AV114" s="418"/>
      <c r="AW114" s="418"/>
      <c r="AX114" s="418"/>
      <c r="AY114" s="418"/>
      <c r="AZ114" s="418"/>
      <c r="BA114" s="418"/>
      <c r="BB114" s="418"/>
      <c r="BC114" s="418"/>
      <c r="BD114" s="418"/>
      <c r="BE114" s="418"/>
      <c r="BF114" s="418"/>
      <c r="BG114" s="418"/>
      <c r="BH114" s="418"/>
      <c r="BI114" s="418"/>
      <c r="BJ114" s="418"/>
      <c r="BK114" s="418"/>
      <c r="BL114" s="418"/>
      <c r="BM114" s="418"/>
      <c r="BN114" s="418"/>
      <c r="BO114" s="418"/>
      <c r="BP114" s="418"/>
      <c r="BQ114" s="418"/>
      <c r="BR114" s="418"/>
      <c r="BS114" s="418"/>
      <c r="BT114" s="418"/>
      <c r="BU114" s="418"/>
      <c r="BV114" s="418"/>
      <c r="BW114" s="418"/>
      <c r="BX114" s="418"/>
      <c r="BY114" s="418"/>
      <c r="BZ114" s="418"/>
    </row>
    <row r="115" spans="1:78" s="403" customFormat="1" ht="12.75" x14ac:dyDescent="0.2">
      <c r="A115" s="397" t="s">
        <v>84</v>
      </c>
      <c r="B115" s="398" t="s">
        <v>175</v>
      </c>
      <c r="C115" s="399" t="s">
        <v>680</v>
      </c>
      <c r="D115" s="400"/>
      <c r="E115" s="401"/>
      <c r="F115" s="400"/>
      <c r="G115" s="401"/>
      <c r="H115" s="400">
        <v>33.659999999999997</v>
      </c>
      <c r="I115" s="401">
        <v>6</v>
      </c>
      <c r="J115" s="399"/>
      <c r="K115" s="402"/>
      <c r="L115" s="399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  <c r="AB115" s="418"/>
      <c r="AC115" s="418"/>
      <c r="AD115" s="418"/>
      <c r="AE115" s="418"/>
      <c r="AF115" s="418"/>
      <c r="AG115" s="418"/>
      <c r="AH115" s="418"/>
      <c r="AI115" s="418"/>
      <c r="AJ115" s="418"/>
      <c r="AK115" s="418"/>
      <c r="AL115" s="418"/>
      <c r="AM115" s="418"/>
      <c r="AN115" s="418"/>
      <c r="AO115" s="418"/>
      <c r="AP115" s="418"/>
      <c r="AQ115" s="418"/>
      <c r="AR115" s="418"/>
      <c r="AS115" s="418"/>
      <c r="AT115" s="418"/>
      <c r="AU115" s="418"/>
      <c r="AV115" s="418"/>
      <c r="AW115" s="418"/>
      <c r="AX115" s="418"/>
      <c r="AY115" s="418"/>
      <c r="AZ115" s="418"/>
      <c r="BA115" s="418"/>
      <c r="BB115" s="418"/>
      <c r="BC115" s="418"/>
      <c r="BD115" s="418"/>
      <c r="BE115" s="418"/>
      <c r="BF115" s="418"/>
      <c r="BG115" s="418"/>
      <c r="BH115" s="418"/>
      <c r="BI115" s="418"/>
      <c r="BJ115" s="418"/>
      <c r="BK115" s="418"/>
      <c r="BL115" s="418"/>
      <c r="BM115" s="418"/>
      <c r="BN115" s="418"/>
      <c r="BO115" s="418"/>
      <c r="BP115" s="418"/>
      <c r="BQ115" s="418"/>
      <c r="BR115" s="418"/>
      <c r="BS115" s="418"/>
      <c r="BT115" s="418"/>
      <c r="BU115" s="418"/>
      <c r="BV115" s="418"/>
      <c r="BW115" s="418"/>
      <c r="BX115" s="418"/>
      <c r="BY115" s="418"/>
      <c r="BZ115" s="418"/>
    </row>
    <row r="116" spans="1:78" s="403" customFormat="1" ht="12.75" x14ac:dyDescent="0.2">
      <c r="A116" s="397" t="s">
        <v>85</v>
      </c>
      <c r="B116" s="398" t="s">
        <v>184</v>
      </c>
      <c r="C116" s="399" t="s">
        <v>680</v>
      </c>
      <c r="D116" s="400"/>
      <c r="E116" s="401"/>
      <c r="F116" s="400"/>
      <c r="G116" s="401"/>
      <c r="H116" s="400">
        <v>33.659999999999997</v>
      </c>
      <c r="I116" s="401">
        <v>0</v>
      </c>
      <c r="J116" s="399"/>
      <c r="K116" s="402"/>
      <c r="L116" s="399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  <c r="AA116" s="418"/>
      <c r="AB116" s="418"/>
      <c r="AC116" s="418"/>
      <c r="AD116" s="418"/>
      <c r="AE116" s="418"/>
      <c r="AF116" s="418"/>
      <c r="AG116" s="418"/>
      <c r="AH116" s="418"/>
      <c r="AI116" s="418"/>
      <c r="AJ116" s="418"/>
      <c r="AK116" s="418"/>
      <c r="AL116" s="418"/>
      <c r="AM116" s="418"/>
      <c r="AN116" s="418"/>
      <c r="AO116" s="418"/>
      <c r="AP116" s="418"/>
      <c r="AQ116" s="418"/>
      <c r="AR116" s="418"/>
      <c r="AS116" s="418"/>
      <c r="AT116" s="418"/>
      <c r="AU116" s="418"/>
      <c r="AV116" s="418"/>
      <c r="AW116" s="418"/>
      <c r="AX116" s="418"/>
      <c r="AY116" s="418"/>
      <c r="AZ116" s="418"/>
      <c r="BA116" s="418"/>
      <c r="BB116" s="418"/>
      <c r="BC116" s="418"/>
      <c r="BD116" s="418"/>
      <c r="BE116" s="418"/>
      <c r="BF116" s="418"/>
      <c r="BG116" s="418"/>
      <c r="BH116" s="418"/>
      <c r="BI116" s="418"/>
      <c r="BJ116" s="418"/>
      <c r="BK116" s="418"/>
      <c r="BL116" s="418"/>
      <c r="BM116" s="418"/>
      <c r="BN116" s="418"/>
      <c r="BO116" s="418"/>
      <c r="BP116" s="418"/>
      <c r="BQ116" s="418"/>
      <c r="BR116" s="418"/>
      <c r="BS116" s="418"/>
      <c r="BT116" s="418"/>
      <c r="BU116" s="418"/>
      <c r="BV116" s="418"/>
      <c r="BW116" s="418"/>
      <c r="BX116" s="418"/>
      <c r="BY116" s="418"/>
      <c r="BZ116" s="418"/>
    </row>
    <row r="117" spans="1:78" s="403" customFormat="1" ht="25.5" x14ac:dyDescent="0.2">
      <c r="A117" s="397" t="s">
        <v>86</v>
      </c>
      <c r="B117" s="398" t="s">
        <v>185</v>
      </c>
      <c r="C117" s="399" t="s">
        <v>680</v>
      </c>
      <c r="D117" s="400"/>
      <c r="E117" s="401"/>
      <c r="F117" s="400"/>
      <c r="G117" s="401"/>
      <c r="H117" s="400">
        <v>33.659999999999997</v>
      </c>
      <c r="I117" s="401">
        <v>1</v>
      </c>
      <c r="J117" s="399"/>
      <c r="K117" s="402"/>
      <c r="L117" s="399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  <c r="AA117" s="418"/>
      <c r="AB117" s="418"/>
      <c r="AC117" s="418"/>
      <c r="AD117" s="418"/>
      <c r="AE117" s="418"/>
      <c r="AF117" s="418"/>
      <c r="AG117" s="418"/>
      <c r="AH117" s="418"/>
      <c r="AI117" s="418"/>
      <c r="AJ117" s="418"/>
      <c r="AK117" s="418"/>
      <c r="AL117" s="418"/>
      <c r="AM117" s="418"/>
      <c r="AN117" s="418"/>
      <c r="AO117" s="418"/>
      <c r="AP117" s="418"/>
      <c r="AQ117" s="418"/>
      <c r="AR117" s="418"/>
      <c r="AS117" s="418"/>
      <c r="AT117" s="418"/>
      <c r="AU117" s="418"/>
      <c r="AV117" s="418"/>
      <c r="AW117" s="418"/>
      <c r="AX117" s="418"/>
      <c r="AY117" s="418"/>
      <c r="AZ117" s="418"/>
      <c r="BA117" s="418"/>
      <c r="BB117" s="418"/>
      <c r="BC117" s="418"/>
      <c r="BD117" s="418"/>
      <c r="BE117" s="418"/>
      <c r="BF117" s="418"/>
      <c r="BG117" s="418"/>
      <c r="BH117" s="418"/>
      <c r="BI117" s="418"/>
      <c r="BJ117" s="418"/>
      <c r="BK117" s="418"/>
      <c r="BL117" s="418"/>
      <c r="BM117" s="418"/>
      <c r="BN117" s="418"/>
      <c r="BO117" s="418"/>
      <c r="BP117" s="418"/>
      <c r="BQ117" s="418"/>
      <c r="BR117" s="418"/>
      <c r="BS117" s="418"/>
      <c r="BT117" s="418"/>
      <c r="BU117" s="418"/>
      <c r="BV117" s="418"/>
      <c r="BW117" s="418"/>
      <c r="BX117" s="418"/>
      <c r="BY117" s="418"/>
      <c r="BZ117" s="418"/>
    </row>
    <row r="118" spans="1:78" s="403" customFormat="1" ht="12.75" x14ac:dyDescent="0.2">
      <c r="A118" s="397" t="s">
        <v>87</v>
      </c>
      <c r="B118" s="398" t="s">
        <v>181</v>
      </c>
      <c r="C118" s="399" t="s">
        <v>680</v>
      </c>
      <c r="D118" s="400"/>
      <c r="E118" s="401"/>
      <c r="F118" s="400"/>
      <c r="G118" s="401"/>
      <c r="H118" s="400">
        <v>35.26</v>
      </c>
      <c r="I118" s="401">
        <v>23</v>
      </c>
      <c r="J118" s="399"/>
      <c r="K118" s="402"/>
      <c r="L118" s="399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  <c r="AA118" s="418"/>
      <c r="AB118" s="418"/>
      <c r="AC118" s="418"/>
      <c r="AD118" s="418"/>
      <c r="AE118" s="418"/>
      <c r="AF118" s="418"/>
      <c r="AG118" s="418"/>
      <c r="AH118" s="418"/>
      <c r="AI118" s="418"/>
      <c r="AJ118" s="418"/>
      <c r="AK118" s="418"/>
      <c r="AL118" s="418"/>
      <c r="AM118" s="418"/>
      <c r="AN118" s="418"/>
      <c r="AO118" s="418"/>
      <c r="AP118" s="418"/>
      <c r="AQ118" s="418"/>
      <c r="AR118" s="418"/>
      <c r="AS118" s="418"/>
      <c r="AT118" s="418"/>
      <c r="AU118" s="418"/>
      <c r="AV118" s="418"/>
      <c r="AW118" s="418"/>
      <c r="AX118" s="418"/>
      <c r="AY118" s="418"/>
      <c r="AZ118" s="418"/>
      <c r="BA118" s="418"/>
      <c r="BB118" s="418"/>
      <c r="BC118" s="418"/>
      <c r="BD118" s="418"/>
      <c r="BE118" s="418"/>
      <c r="BF118" s="418"/>
      <c r="BG118" s="418"/>
      <c r="BH118" s="418"/>
      <c r="BI118" s="418"/>
      <c r="BJ118" s="418"/>
      <c r="BK118" s="418"/>
      <c r="BL118" s="418"/>
      <c r="BM118" s="418"/>
      <c r="BN118" s="418"/>
      <c r="BO118" s="418"/>
      <c r="BP118" s="418"/>
      <c r="BQ118" s="418"/>
      <c r="BR118" s="418"/>
      <c r="BS118" s="418"/>
      <c r="BT118" s="418"/>
      <c r="BU118" s="418"/>
      <c r="BV118" s="418"/>
      <c r="BW118" s="418"/>
      <c r="BX118" s="418"/>
      <c r="BY118" s="418"/>
      <c r="BZ118" s="418"/>
    </row>
    <row r="119" spans="1:78" s="403" customFormat="1" ht="25.5" x14ac:dyDescent="0.2">
      <c r="A119" s="397" t="s">
        <v>88</v>
      </c>
      <c r="B119" s="398" t="s">
        <v>172</v>
      </c>
      <c r="C119" s="399" t="s">
        <v>680</v>
      </c>
      <c r="D119" s="400"/>
      <c r="E119" s="401"/>
      <c r="F119" s="400"/>
      <c r="G119" s="401"/>
      <c r="H119" s="400">
        <v>84.82</v>
      </c>
      <c r="I119" s="401">
        <v>113</v>
      </c>
      <c r="J119" s="399"/>
      <c r="K119" s="402"/>
      <c r="L119" s="399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  <c r="AB119" s="418"/>
      <c r="AC119" s="418"/>
      <c r="AD119" s="418"/>
      <c r="AE119" s="418"/>
      <c r="AF119" s="418"/>
      <c r="AG119" s="418"/>
      <c r="AH119" s="418"/>
      <c r="AI119" s="418"/>
      <c r="AJ119" s="418"/>
      <c r="AK119" s="418"/>
      <c r="AL119" s="418"/>
      <c r="AM119" s="418"/>
      <c r="AN119" s="418"/>
      <c r="AO119" s="418"/>
      <c r="AP119" s="418"/>
      <c r="AQ119" s="418"/>
      <c r="AR119" s="418"/>
      <c r="AS119" s="418"/>
      <c r="AT119" s="418"/>
      <c r="AU119" s="418"/>
      <c r="AV119" s="418"/>
      <c r="AW119" s="418"/>
      <c r="AX119" s="418"/>
      <c r="AY119" s="418"/>
      <c r="AZ119" s="418"/>
      <c r="BA119" s="418"/>
      <c r="BB119" s="418"/>
      <c r="BC119" s="418"/>
      <c r="BD119" s="418"/>
      <c r="BE119" s="418"/>
      <c r="BF119" s="418"/>
      <c r="BG119" s="418"/>
      <c r="BH119" s="418"/>
      <c r="BI119" s="418"/>
      <c r="BJ119" s="418"/>
      <c r="BK119" s="418"/>
      <c r="BL119" s="418"/>
      <c r="BM119" s="418"/>
      <c r="BN119" s="418"/>
      <c r="BO119" s="418"/>
      <c r="BP119" s="418"/>
      <c r="BQ119" s="418"/>
      <c r="BR119" s="418"/>
      <c r="BS119" s="418"/>
      <c r="BT119" s="418"/>
      <c r="BU119" s="418"/>
      <c r="BV119" s="418"/>
      <c r="BW119" s="418"/>
      <c r="BX119" s="418"/>
      <c r="BY119" s="418"/>
      <c r="BZ119" s="418"/>
    </row>
    <row r="120" spans="1:78" s="403" customFormat="1" ht="25.5" x14ac:dyDescent="0.2">
      <c r="A120" s="397" t="s">
        <v>89</v>
      </c>
      <c r="B120" s="398" t="s">
        <v>173</v>
      </c>
      <c r="C120" s="399" t="s">
        <v>680</v>
      </c>
      <c r="D120" s="400"/>
      <c r="E120" s="401"/>
      <c r="F120" s="400"/>
      <c r="G120" s="401"/>
      <c r="H120" s="400">
        <v>33.659999999999997</v>
      </c>
      <c r="I120" s="401">
        <v>1</v>
      </c>
      <c r="J120" s="399"/>
      <c r="K120" s="402"/>
      <c r="L120" s="399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  <c r="AB120" s="418"/>
      <c r="AC120" s="418"/>
      <c r="AD120" s="418"/>
      <c r="AE120" s="418"/>
      <c r="AF120" s="418"/>
      <c r="AG120" s="418"/>
      <c r="AH120" s="418"/>
      <c r="AI120" s="418"/>
      <c r="AJ120" s="418"/>
      <c r="AK120" s="418"/>
      <c r="AL120" s="418"/>
      <c r="AM120" s="418"/>
      <c r="AN120" s="418"/>
      <c r="AO120" s="418"/>
      <c r="AP120" s="418"/>
      <c r="AQ120" s="418"/>
      <c r="AR120" s="418"/>
      <c r="AS120" s="418"/>
      <c r="AT120" s="418"/>
      <c r="AU120" s="418"/>
      <c r="AV120" s="418"/>
      <c r="AW120" s="418"/>
      <c r="AX120" s="418"/>
      <c r="AY120" s="418"/>
      <c r="AZ120" s="418"/>
      <c r="BA120" s="418"/>
      <c r="BB120" s="418"/>
      <c r="BC120" s="418"/>
      <c r="BD120" s="418"/>
      <c r="BE120" s="418"/>
      <c r="BF120" s="418"/>
      <c r="BG120" s="418"/>
      <c r="BH120" s="418"/>
      <c r="BI120" s="418"/>
      <c r="BJ120" s="418"/>
      <c r="BK120" s="418"/>
      <c r="BL120" s="418"/>
      <c r="BM120" s="418"/>
      <c r="BN120" s="418"/>
      <c r="BO120" s="418"/>
      <c r="BP120" s="418"/>
      <c r="BQ120" s="418"/>
      <c r="BR120" s="418"/>
      <c r="BS120" s="418"/>
      <c r="BT120" s="418"/>
      <c r="BU120" s="418"/>
      <c r="BV120" s="418"/>
      <c r="BW120" s="418"/>
      <c r="BX120" s="418"/>
      <c r="BY120" s="418"/>
      <c r="BZ120" s="418"/>
    </row>
    <row r="121" spans="1:78" s="403" customFormat="1" ht="25.5" x14ac:dyDescent="0.2">
      <c r="A121" s="397" t="s">
        <v>90</v>
      </c>
      <c r="B121" s="398" t="s">
        <v>174</v>
      </c>
      <c r="C121" s="399" t="s">
        <v>680</v>
      </c>
      <c r="D121" s="400"/>
      <c r="E121" s="401"/>
      <c r="F121" s="400"/>
      <c r="G121" s="401"/>
      <c r="H121" s="400">
        <v>33.659999999999997</v>
      </c>
      <c r="I121" s="401">
        <v>0</v>
      </c>
      <c r="J121" s="399"/>
      <c r="K121" s="402"/>
      <c r="L121" s="399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  <c r="AA121" s="418"/>
      <c r="AB121" s="418"/>
      <c r="AC121" s="418"/>
      <c r="AD121" s="418"/>
      <c r="AE121" s="418"/>
      <c r="AF121" s="418"/>
      <c r="AG121" s="418"/>
      <c r="AH121" s="418"/>
      <c r="AI121" s="418"/>
      <c r="AJ121" s="418"/>
      <c r="AK121" s="418"/>
      <c r="AL121" s="418"/>
      <c r="AM121" s="418"/>
      <c r="AN121" s="418"/>
      <c r="AO121" s="418"/>
      <c r="AP121" s="418"/>
      <c r="AQ121" s="418"/>
      <c r="AR121" s="418"/>
      <c r="AS121" s="418"/>
      <c r="AT121" s="418"/>
      <c r="AU121" s="418"/>
      <c r="AV121" s="418"/>
      <c r="AW121" s="418"/>
      <c r="AX121" s="418"/>
      <c r="AY121" s="418"/>
      <c r="AZ121" s="418"/>
      <c r="BA121" s="418"/>
      <c r="BB121" s="418"/>
      <c r="BC121" s="418"/>
      <c r="BD121" s="418"/>
      <c r="BE121" s="418"/>
      <c r="BF121" s="418"/>
      <c r="BG121" s="418"/>
      <c r="BH121" s="418"/>
      <c r="BI121" s="418"/>
      <c r="BJ121" s="418"/>
      <c r="BK121" s="418"/>
      <c r="BL121" s="418"/>
      <c r="BM121" s="418"/>
      <c r="BN121" s="418"/>
      <c r="BO121" s="418"/>
      <c r="BP121" s="418"/>
      <c r="BQ121" s="418"/>
      <c r="BR121" s="418"/>
      <c r="BS121" s="418"/>
      <c r="BT121" s="418"/>
      <c r="BU121" s="418"/>
      <c r="BV121" s="418"/>
      <c r="BW121" s="418"/>
      <c r="BX121" s="418"/>
      <c r="BY121" s="418"/>
      <c r="BZ121" s="418"/>
    </row>
    <row r="122" spans="1:78" s="403" customFormat="1" ht="12.75" x14ac:dyDescent="0.2">
      <c r="A122" s="397" t="s">
        <v>91</v>
      </c>
      <c r="B122" s="398" t="s">
        <v>182</v>
      </c>
      <c r="C122" s="399" t="s">
        <v>680</v>
      </c>
      <c r="D122" s="400"/>
      <c r="E122" s="401"/>
      <c r="F122" s="400"/>
      <c r="G122" s="401"/>
      <c r="H122" s="400">
        <v>33.659999999999997</v>
      </c>
      <c r="I122" s="401">
        <v>14</v>
      </c>
      <c r="J122" s="399"/>
      <c r="K122" s="402"/>
      <c r="L122" s="399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  <c r="AA122" s="418"/>
      <c r="AB122" s="418"/>
      <c r="AC122" s="418"/>
      <c r="AD122" s="418"/>
      <c r="AE122" s="418"/>
      <c r="AF122" s="418"/>
      <c r="AG122" s="418"/>
      <c r="AH122" s="418"/>
      <c r="AI122" s="418"/>
      <c r="AJ122" s="418"/>
      <c r="AK122" s="418"/>
      <c r="AL122" s="418"/>
      <c r="AM122" s="418"/>
      <c r="AN122" s="418"/>
      <c r="AO122" s="418"/>
      <c r="AP122" s="418"/>
      <c r="AQ122" s="418"/>
      <c r="AR122" s="418"/>
      <c r="AS122" s="418"/>
      <c r="AT122" s="418"/>
      <c r="AU122" s="418"/>
      <c r="AV122" s="418"/>
      <c r="AW122" s="418"/>
      <c r="AX122" s="418"/>
      <c r="AY122" s="418"/>
      <c r="AZ122" s="418"/>
      <c r="BA122" s="418"/>
      <c r="BB122" s="418"/>
      <c r="BC122" s="418"/>
      <c r="BD122" s="418"/>
      <c r="BE122" s="418"/>
      <c r="BF122" s="418"/>
      <c r="BG122" s="418"/>
      <c r="BH122" s="418"/>
      <c r="BI122" s="418"/>
      <c r="BJ122" s="418"/>
      <c r="BK122" s="418"/>
      <c r="BL122" s="418"/>
      <c r="BM122" s="418"/>
      <c r="BN122" s="418"/>
      <c r="BO122" s="418"/>
      <c r="BP122" s="418"/>
      <c r="BQ122" s="418"/>
      <c r="BR122" s="418"/>
      <c r="BS122" s="418"/>
      <c r="BT122" s="418"/>
      <c r="BU122" s="418"/>
      <c r="BV122" s="418"/>
      <c r="BW122" s="418"/>
      <c r="BX122" s="418"/>
      <c r="BY122" s="418"/>
      <c r="BZ122" s="418"/>
    </row>
    <row r="123" spans="1:78" s="403" customFormat="1" ht="25.5" x14ac:dyDescent="0.2">
      <c r="A123" s="397" t="s">
        <v>92</v>
      </c>
      <c r="B123" s="398" t="s">
        <v>186</v>
      </c>
      <c r="C123" s="399" t="s">
        <v>680</v>
      </c>
      <c r="D123" s="400"/>
      <c r="E123" s="401"/>
      <c r="F123" s="400"/>
      <c r="G123" s="401"/>
      <c r="H123" s="400">
        <v>33.659999999999997</v>
      </c>
      <c r="I123" s="401">
        <v>6</v>
      </c>
      <c r="J123" s="399"/>
      <c r="K123" s="402"/>
      <c r="L123" s="399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  <c r="AA123" s="418"/>
      <c r="AB123" s="418"/>
      <c r="AC123" s="418"/>
      <c r="AD123" s="418"/>
      <c r="AE123" s="418"/>
      <c r="AF123" s="418"/>
      <c r="AG123" s="418"/>
      <c r="AH123" s="418"/>
      <c r="AI123" s="418"/>
      <c r="AJ123" s="418"/>
      <c r="AK123" s="418"/>
      <c r="AL123" s="418"/>
      <c r="AM123" s="418"/>
      <c r="AN123" s="418"/>
      <c r="AO123" s="418"/>
      <c r="AP123" s="418"/>
      <c r="AQ123" s="418"/>
      <c r="AR123" s="418"/>
      <c r="AS123" s="418"/>
      <c r="AT123" s="418"/>
      <c r="AU123" s="418"/>
      <c r="AV123" s="418"/>
      <c r="AW123" s="418"/>
      <c r="AX123" s="418"/>
      <c r="AY123" s="418"/>
      <c r="AZ123" s="418"/>
      <c r="BA123" s="418"/>
      <c r="BB123" s="418"/>
      <c r="BC123" s="418"/>
      <c r="BD123" s="418"/>
      <c r="BE123" s="418"/>
      <c r="BF123" s="418"/>
      <c r="BG123" s="418"/>
      <c r="BH123" s="418"/>
      <c r="BI123" s="418"/>
      <c r="BJ123" s="418"/>
      <c r="BK123" s="418"/>
      <c r="BL123" s="418"/>
      <c r="BM123" s="418"/>
      <c r="BN123" s="418"/>
      <c r="BO123" s="418"/>
      <c r="BP123" s="418"/>
      <c r="BQ123" s="418"/>
      <c r="BR123" s="418"/>
      <c r="BS123" s="418"/>
      <c r="BT123" s="418"/>
      <c r="BU123" s="418"/>
      <c r="BV123" s="418"/>
      <c r="BW123" s="418"/>
      <c r="BX123" s="418"/>
      <c r="BY123" s="418"/>
      <c r="BZ123" s="418"/>
    </row>
    <row r="124" spans="1:78" s="403" customFormat="1" ht="25.5" x14ac:dyDescent="0.2">
      <c r="A124" s="397" t="s">
        <v>93</v>
      </c>
      <c r="B124" s="398" t="s">
        <v>183</v>
      </c>
      <c r="C124" s="399" t="s">
        <v>680</v>
      </c>
      <c r="D124" s="400"/>
      <c r="E124" s="401"/>
      <c r="F124" s="400"/>
      <c r="G124" s="401"/>
      <c r="H124" s="400">
        <v>33.659999999999997</v>
      </c>
      <c r="I124" s="401">
        <v>0</v>
      </c>
      <c r="J124" s="399"/>
      <c r="K124" s="402"/>
      <c r="L124" s="399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  <c r="AA124" s="418"/>
      <c r="AB124" s="418"/>
      <c r="AC124" s="418"/>
      <c r="AD124" s="418"/>
      <c r="AE124" s="418"/>
      <c r="AF124" s="418"/>
      <c r="AG124" s="418"/>
      <c r="AH124" s="418"/>
      <c r="AI124" s="418"/>
      <c r="AJ124" s="418"/>
      <c r="AK124" s="418"/>
      <c r="AL124" s="418"/>
      <c r="AM124" s="418"/>
      <c r="AN124" s="418"/>
      <c r="AO124" s="418"/>
      <c r="AP124" s="418"/>
      <c r="AQ124" s="418"/>
      <c r="AR124" s="418"/>
      <c r="AS124" s="418"/>
      <c r="AT124" s="418"/>
      <c r="AU124" s="418"/>
      <c r="AV124" s="418"/>
      <c r="AW124" s="418"/>
      <c r="AX124" s="418"/>
      <c r="AY124" s="418"/>
      <c r="AZ124" s="418"/>
      <c r="BA124" s="418"/>
      <c r="BB124" s="418"/>
      <c r="BC124" s="418"/>
      <c r="BD124" s="418"/>
      <c r="BE124" s="418"/>
      <c r="BF124" s="418"/>
      <c r="BG124" s="418"/>
      <c r="BH124" s="418"/>
      <c r="BI124" s="418"/>
      <c r="BJ124" s="418"/>
      <c r="BK124" s="418"/>
      <c r="BL124" s="418"/>
      <c r="BM124" s="418"/>
      <c r="BN124" s="418"/>
      <c r="BO124" s="418"/>
      <c r="BP124" s="418"/>
      <c r="BQ124" s="418"/>
      <c r="BR124" s="418"/>
      <c r="BS124" s="418"/>
      <c r="BT124" s="418"/>
      <c r="BU124" s="418"/>
      <c r="BV124" s="418"/>
      <c r="BW124" s="418"/>
      <c r="BX124" s="418"/>
      <c r="BY124" s="418"/>
      <c r="BZ124" s="418"/>
    </row>
    <row r="125" spans="1:78" s="403" customFormat="1" ht="12.75" x14ac:dyDescent="0.2">
      <c r="A125" s="397" t="s">
        <v>103</v>
      </c>
      <c r="B125" s="398" t="s">
        <v>194</v>
      </c>
      <c r="C125" s="399" t="s">
        <v>680</v>
      </c>
      <c r="D125" s="400"/>
      <c r="E125" s="401"/>
      <c r="F125" s="400"/>
      <c r="G125" s="401"/>
      <c r="H125" s="400">
        <v>33.659999999999997</v>
      </c>
      <c r="I125" s="401">
        <v>4</v>
      </c>
      <c r="J125" s="399"/>
      <c r="K125" s="402"/>
      <c r="L125" s="399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  <c r="AA125" s="418"/>
      <c r="AB125" s="418"/>
      <c r="AC125" s="418"/>
      <c r="AD125" s="418"/>
      <c r="AE125" s="418"/>
      <c r="AF125" s="418"/>
      <c r="AG125" s="418"/>
      <c r="AH125" s="418"/>
      <c r="AI125" s="418"/>
      <c r="AJ125" s="418"/>
      <c r="AK125" s="418"/>
      <c r="AL125" s="418"/>
      <c r="AM125" s="418"/>
      <c r="AN125" s="418"/>
      <c r="AO125" s="418"/>
      <c r="AP125" s="418"/>
      <c r="AQ125" s="418"/>
      <c r="AR125" s="418"/>
      <c r="AS125" s="418"/>
      <c r="AT125" s="418"/>
      <c r="AU125" s="418"/>
      <c r="AV125" s="418"/>
      <c r="AW125" s="418"/>
      <c r="AX125" s="418"/>
      <c r="AY125" s="418"/>
      <c r="AZ125" s="418"/>
      <c r="BA125" s="418"/>
      <c r="BB125" s="418"/>
      <c r="BC125" s="418"/>
      <c r="BD125" s="418"/>
      <c r="BE125" s="418"/>
      <c r="BF125" s="418"/>
      <c r="BG125" s="418"/>
      <c r="BH125" s="418"/>
      <c r="BI125" s="418"/>
      <c r="BJ125" s="418"/>
      <c r="BK125" s="418"/>
      <c r="BL125" s="418"/>
      <c r="BM125" s="418"/>
      <c r="BN125" s="418"/>
      <c r="BO125" s="418"/>
      <c r="BP125" s="418"/>
      <c r="BQ125" s="418"/>
      <c r="BR125" s="418"/>
      <c r="BS125" s="418"/>
      <c r="BT125" s="418"/>
      <c r="BU125" s="418"/>
      <c r="BV125" s="418"/>
      <c r="BW125" s="418"/>
      <c r="BX125" s="418"/>
      <c r="BY125" s="418"/>
      <c r="BZ125" s="418"/>
    </row>
    <row r="126" spans="1:78" s="477" customFormat="1" ht="25.5" x14ac:dyDescent="0.2">
      <c r="A126" s="471" t="s">
        <v>104</v>
      </c>
      <c r="B126" s="472" t="s">
        <v>195</v>
      </c>
      <c r="C126" s="473" t="s">
        <v>616</v>
      </c>
      <c r="D126" s="474"/>
      <c r="E126" s="475"/>
      <c r="F126" s="474"/>
      <c r="G126" s="475"/>
      <c r="H126" s="474">
        <v>31.16</v>
      </c>
      <c r="I126" s="475">
        <v>0</v>
      </c>
      <c r="J126" s="473"/>
      <c r="K126" s="476"/>
      <c r="L126" s="473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  <c r="AB126" s="418"/>
      <c r="AC126" s="418"/>
      <c r="AD126" s="418"/>
      <c r="AE126" s="418"/>
      <c r="AF126" s="418"/>
      <c r="AG126" s="418"/>
      <c r="AH126" s="418"/>
      <c r="AI126" s="418"/>
      <c r="AJ126" s="418"/>
      <c r="AK126" s="418"/>
      <c r="AL126" s="418"/>
      <c r="AM126" s="418"/>
      <c r="AN126" s="418"/>
      <c r="AO126" s="418"/>
      <c r="AP126" s="418"/>
      <c r="AQ126" s="418"/>
      <c r="AR126" s="418"/>
      <c r="AS126" s="418"/>
      <c r="AT126" s="418"/>
      <c r="AU126" s="418"/>
      <c r="AV126" s="418"/>
      <c r="AW126" s="418"/>
      <c r="AX126" s="418"/>
      <c r="AY126" s="418"/>
      <c r="AZ126" s="418"/>
      <c r="BA126" s="418"/>
      <c r="BB126" s="418"/>
      <c r="BC126" s="418"/>
      <c r="BD126" s="418"/>
      <c r="BE126" s="418"/>
      <c r="BF126" s="418"/>
      <c r="BG126" s="418"/>
      <c r="BH126" s="418"/>
      <c r="BI126" s="418"/>
      <c r="BJ126" s="418"/>
      <c r="BK126" s="418"/>
      <c r="BL126" s="418"/>
      <c r="BM126" s="418"/>
      <c r="BN126" s="418"/>
      <c r="BO126" s="418"/>
      <c r="BP126" s="418"/>
      <c r="BQ126" s="418"/>
      <c r="BR126" s="418"/>
      <c r="BS126" s="418"/>
      <c r="BT126" s="418"/>
      <c r="BU126" s="418"/>
      <c r="BV126" s="418"/>
      <c r="BW126" s="418"/>
      <c r="BX126" s="418"/>
      <c r="BY126" s="418"/>
      <c r="BZ126" s="418"/>
    </row>
    <row r="127" spans="1:78" s="403" customFormat="1" ht="12.75" x14ac:dyDescent="0.2">
      <c r="A127" s="397" t="s">
        <v>105</v>
      </c>
      <c r="B127" s="398" t="s">
        <v>196</v>
      </c>
      <c r="C127" s="399" t="s">
        <v>680</v>
      </c>
      <c r="D127" s="400"/>
      <c r="E127" s="401"/>
      <c r="F127" s="400"/>
      <c r="G127" s="401"/>
      <c r="H127" s="400">
        <v>50.49</v>
      </c>
      <c r="I127" s="401">
        <v>3</v>
      </c>
      <c r="J127" s="399"/>
      <c r="K127" s="402"/>
      <c r="L127" s="399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418"/>
      <c r="BB127" s="418"/>
      <c r="BC127" s="418"/>
      <c r="BD127" s="418"/>
      <c r="BE127" s="418"/>
      <c r="BF127" s="418"/>
      <c r="BG127" s="418"/>
      <c r="BH127" s="418"/>
      <c r="BI127" s="418"/>
      <c r="BJ127" s="418"/>
      <c r="BK127" s="418"/>
      <c r="BL127" s="418"/>
      <c r="BM127" s="418"/>
      <c r="BN127" s="418"/>
      <c r="BO127" s="418"/>
      <c r="BP127" s="418"/>
      <c r="BQ127" s="418"/>
      <c r="BR127" s="418"/>
      <c r="BS127" s="418"/>
      <c r="BT127" s="418"/>
      <c r="BU127" s="418"/>
      <c r="BV127" s="418"/>
      <c r="BW127" s="418"/>
      <c r="BX127" s="418"/>
      <c r="BY127" s="418"/>
      <c r="BZ127" s="418"/>
    </row>
    <row r="128" spans="1:78" s="403" customFormat="1" ht="12.75" x14ac:dyDescent="0.2">
      <c r="A128" s="397" t="s">
        <v>68</v>
      </c>
      <c r="B128" s="398" t="s">
        <v>166</v>
      </c>
      <c r="C128" s="399" t="s">
        <v>680</v>
      </c>
      <c r="D128" s="400"/>
      <c r="E128" s="401"/>
      <c r="F128" s="400"/>
      <c r="G128" s="401"/>
      <c r="H128" s="400">
        <v>48.61</v>
      </c>
      <c r="I128" s="401">
        <v>48</v>
      </c>
      <c r="J128" s="399"/>
      <c r="K128" s="402"/>
      <c r="L128" s="399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  <c r="AA128" s="418"/>
      <c r="AB128" s="418"/>
      <c r="AC128" s="418"/>
      <c r="AD128" s="418"/>
      <c r="AE128" s="418"/>
      <c r="AF128" s="418"/>
      <c r="AG128" s="418"/>
      <c r="AH128" s="418"/>
      <c r="AI128" s="418"/>
      <c r="AJ128" s="418"/>
      <c r="AK128" s="418"/>
      <c r="AL128" s="418"/>
      <c r="AM128" s="418"/>
      <c r="AN128" s="418"/>
      <c r="AO128" s="418"/>
      <c r="AP128" s="418"/>
      <c r="AQ128" s="418"/>
      <c r="AR128" s="418"/>
      <c r="AS128" s="418"/>
      <c r="AT128" s="418"/>
      <c r="AU128" s="418"/>
      <c r="AV128" s="418"/>
      <c r="AW128" s="418"/>
      <c r="AX128" s="418"/>
      <c r="AY128" s="418"/>
      <c r="AZ128" s="418"/>
      <c r="BA128" s="418"/>
      <c r="BB128" s="418"/>
      <c r="BC128" s="418"/>
      <c r="BD128" s="418"/>
      <c r="BE128" s="418"/>
      <c r="BF128" s="418"/>
      <c r="BG128" s="418"/>
      <c r="BH128" s="418"/>
      <c r="BI128" s="418"/>
      <c r="BJ128" s="418"/>
      <c r="BK128" s="418"/>
      <c r="BL128" s="418"/>
      <c r="BM128" s="418"/>
      <c r="BN128" s="418"/>
      <c r="BO128" s="418"/>
      <c r="BP128" s="418"/>
      <c r="BQ128" s="418"/>
      <c r="BR128" s="418"/>
      <c r="BS128" s="418"/>
      <c r="BT128" s="418"/>
      <c r="BU128" s="418"/>
      <c r="BV128" s="418"/>
      <c r="BW128" s="418"/>
      <c r="BX128" s="418"/>
      <c r="BY128" s="418"/>
      <c r="BZ128" s="418"/>
    </row>
    <row r="129" spans="1:78" s="403" customFormat="1" ht="25.5" x14ac:dyDescent="0.2">
      <c r="A129" s="397" t="s">
        <v>46</v>
      </c>
      <c r="B129" s="398" t="s">
        <v>193</v>
      </c>
      <c r="C129" s="399" t="s">
        <v>680</v>
      </c>
      <c r="D129" s="400"/>
      <c r="E129" s="401"/>
      <c r="F129" s="400"/>
      <c r="G129" s="401"/>
      <c r="H129" s="400">
        <v>33.659999999999997</v>
      </c>
      <c r="I129" s="401">
        <v>16</v>
      </c>
      <c r="J129" s="399"/>
      <c r="K129" s="402"/>
      <c r="L129" s="399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  <c r="AA129" s="418"/>
      <c r="AB129" s="418"/>
      <c r="AC129" s="418"/>
      <c r="AD129" s="418"/>
      <c r="AE129" s="418"/>
      <c r="AF129" s="418"/>
      <c r="AG129" s="418"/>
      <c r="AH129" s="418"/>
      <c r="AI129" s="418"/>
      <c r="AJ129" s="418"/>
      <c r="AK129" s="418"/>
      <c r="AL129" s="418"/>
      <c r="AM129" s="418"/>
      <c r="AN129" s="418"/>
      <c r="AO129" s="418"/>
      <c r="AP129" s="418"/>
      <c r="AQ129" s="418"/>
      <c r="AR129" s="418"/>
      <c r="AS129" s="418"/>
      <c r="AT129" s="418"/>
      <c r="AU129" s="418"/>
      <c r="AV129" s="418"/>
      <c r="AW129" s="418"/>
      <c r="AX129" s="418"/>
      <c r="AY129" s="418"/>
      <c r="AZ129" s="418"/>
      <c r="BA129" s="418"/>
      <c r="BB129" s="418"/>
      <c r="BC129" s="418"/>
      <c r="BD129" s="418"/>
      <c r="BE129" s="418"/>
      <c r="BF129" s="418"/>
      <c r="BG129" s="418"/>
      <c r="BH129" s="418"/>
      <c r="BI129" s="418"/>
      <c r="BJ129" s="418"/>
      <c r="BK129" s="418"/>
      <c r="BL129" s="418"/>
      <c r="BM129" s="418"/>
      <c r="BN129" s="418"/>
      <c r="BO129" s="418"/>
      <c r="BP129" s="418"/>
      <c r="BQ129" s="418"/>
      <c r="BR129" s="418"/>
      <c r="BS129" s="418"/>
      <c r="BT129" s="418"/>
      <c r="BU129" s="418"/>
      <c r="BV129" s="418"/>
      <c r="BW129" s="418"/>
      <c r="BX129" s="418"/>
      <c r="BY129" s="418"/>
      <c r="BZ129" s="418"/>
    </row>
    <row r="130" spans="1:78" s="403" customFormat="1" ht="25.5" x14ac:dyDescent="0.2">
      <c r="A130" s="397" t="s">
        <v>17</v>
      </c>
      <c r="B130" s="398" t="s">
        <v>192</v>
      </c>
      <c r="C130" s="399" t="s">
        <v>680</v>
      </c>
      <c r="D130" s="400"/>
      <c r="E130" s="401"/>
      <c r="F130" s="400"/>
      <c r="G130" s="401"/>
      <c r="H130" s="400">
        <v>33.659999999999997</v>
      </c>
      <c r="I130" s="401">
        <v>0</v>
      </c>
      <c r="J130" s="399"/>
      <c r="K130" s="402"/>
      <c r="L130" s="399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  <c r="AA130" s="418"/>
      <c r="AB130" s="418"/>
      <c r="AC130" s="418"/>
      <c r="AD130" s="418"/>
      <c r="AE130" s="418"/>
      <c r="AF130" s="418"/>
      <c r="AG130" s="418"/>
      <c r="AH130" s="418"/>
      <c r="AI130" s="418"/>
      <c r="AJ130" s="418"/>
      <c r="AK130" s="418"/>
      <c r="AL130" s="418"/>
      <c r="AM130" s="418"/>
      <c r="AN130" s="418"/>
      <c r="AO130" s="418"/>
      <c r="AP130" s="418"/>
      <c r="AQ130" s="418"/>
      <c r="AR130" s="418"/>
      <c r="AS130" s="418"/>
      <c r="AT130" s="418"/>
      <c r="AU130" s="418"/>
      <c r="AV130" s="418"/>
      <c r="AW130" s="418"/>
      <c r="AX130" s="418"/>
      <c r="AY130" s="418"/>
      <c r="AZ130" s="418"/>
      <c r="BA130" s="418"/>
      <c r="BB130" s="418"/>
      <c r="BC130" s="418"/>
      <c r="BD130" s="418"/>
      <c r="BE130" s="418"/>
      <c r="BF130" s="418"/>
      <c r="BG130" s="418"/>
      <c r="BH130" s="418"/>
      <c r="BI130" s="418"/>
      <c r="BJ130" s="418"/>
      <c r="BK130" s="418"/>
      <c r="BL130" s="418"/>
      <c r="BM130" s="418"/>
      <c r="BN130" s="418"/>
      <c r="BO130" s="418"/>
      <c r="BP130" s="418"/>
      <c r="BQ130" s="418"/>
      <c r="BR130" s="418"/>
      <c r="BS130" s="418"/>
      <c r="BT130" s="418"/>
      <c r="BU130" s="418"/>
      <c r="BV130" s="418"/>
      <c r="BW130" s="418"/>
      <c r="BX130" s="418"/>
      <c r="BY130" s="418"/>
      <c r="BZ130" s="418"/>
    </row>
    <row r="131" spans="1:78" s="403" customFormat="1" ht="25.5" x14ac:dyDescent="0.2">
      <c r="A131" s="397" t="s">
        <v>47</v>
      </c>
      <c r="B131" s="398" t="s">
        <v>139</v>
      </c>
      <c r="C131" s="399" t="s">
        <v>681</v>
      </c>
      <c r="D131" s="400"/>
      <c r="E131" s="401"/>
      <c r="F131" s="400"/>
      <c r="G131" s="401"/>
      <c r="H131" s="400">
        <v>37.4</v>
      </c>
      <c r="I131" s="401">
        <v>27</v>
      </c>
      <c r="J131" s="399"/>
      <c r="K131" s="402"/>
      <c r="L131" s="399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18"/>
      <c r="AH131" s="418"/>
      <c r="AI131" s="418"/>
      <c r="AJ131" s="418"/>
      <c r="AK131" s="418"/>
      <c r="AL131" s="418"/>
      <c r="AM131" s="418"/>
      <c r="AN131" s="418"/>
      <c r="AO131" s="418"/>
      <c r="AP131" s="418"/>
      <c r="AQ131" s="418"/>
      <c r="AR131" s="418"/>
      <c r="AS131" s="418"/>
      <c r="AT131" s="418"/>
      <c r="AU131" s="418"/>
      <c r="AV131" s="418"/>
      <c r="AW131" s="418"/>
      <c r="AX131" s="418"/>
      <c r="AY131" s="418"/>
      <c r="AZ131" s="418"/>
      <c r="BA131" s="418"/>
      <c r="BB131" s="418"/>
      <c r="BC131" s="418"/>
      <c r="BD131" s="418"/>
      <c r="BE131" s="418"/>
      <c r="BF131" s="418"/>
      <c r="BG131" s="418"/>
      <c r="BH131" s="418"/>
      <c r="BI131" s="418"/>
      <c r="BJ131" s="418"/>
      <c r="BK131" s="418"/>
      <c r="BL131" s="418"/>
      <c r="BM131" s="418"/>
      <c r="BN131" s="418"/>
      <c r="BO131" s="418"/>
      <c r="BP131" s="418"/>
      <c r="BQ131" s="418"/>
      <c r="BR131" s="418"/>
      <c r="BS131" s="418"/>
      <c r="BT131" s="418"/>
      <c r="BU131" s="418"/>
      <c r="BV131" s="418"/>
      <c r="BW131" s="418"/>
      <c r="BX131" s="418"/>
      <c r="BY131" s="418"/>
      <c r="BZ131" s="418"/>
    </row>
    <row r="132" spans="1:78" s="403" customFormat="1" ht="12.75" x14ac:dyDescent="0.2">
      <c r="A132" s="397" t="s">
        <v>64</v>
      </c>
      <c r="B132" s="398" t="s">
        <v>191</v>
      </c>
      <c r="C132" s="399" t="s">
        <v>680</v>
      </c>
      <c r="D132" s="400"/>
      <c r="E132" s="401"/>
      <c r="F132" s="400"/>
      <c r="G132" s="401"/>
      <c r="H132" s="400">
        <v>158.15</v>
      </c>
      <c r="I132" s="401">
        <v>226</v>
      </c>
      <c r="J132" s="399"/>
      <c r="K132" s="402"/>
      <c r="L132" s="399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18"/>
      <c r="AH132" s="418"/>
      <c r="AI132" s="418"/>
      <c r="AJ132" s="418"/>
      <c r="AK132" s="418"/>
      <c r="AL132" s="418"/>
      <c r="AM132" s="418"/>
      <c r="AN132" s="418"/>
      <c r="AO132" s="418"/>
      <c r="AP132" s="418"/>
      <c r="AQ132" s="418"/>
      <c r="AR132" s="418"/>
      <c r="AS132" s="418"/>
      <c r="AT132" s="418"/>
      <c r="AU132" s="418"/>
      <c r="AV132" s="418"/>
      <c r="AW132" s="418"/>
      <c r="AX132" s="418"/>
      <c r="AY132" s="418"/>
      <c r="AZ132" s="418"/>
      <c r="BA132" s="418"/>
      <c r="BB132" s="418"/>
      <c r="BC132" s="418"/>
      <c r="BD132" s="418"/>
      <c r="BE132" s="418"/>
      <c r="BF132" s="418"/>
      <c r="BG132" s="418"/>
      <c r="BH132" s="418"/>
      <c r="BI132" s="418"/>
      <c r="BJ132" s="418"/>
      <c r="BK132" s="418"/>
      <c r="BL132" s="418"/>
      <c r="BM132" s="418"/>
      <c r="BN132" s="418"/>
      <c r="BO132" s="418"/>
      <c r="BP132" s="418"/>
      <c r="BQ132" s="418"/>
      <c r="BR132" s="418"/>
      <c r="BS132" s="418"/>
      <c r="BT132" s="418"/>
      <c r="BU132" s="418"/>
      <c r="BV132" s="418"/>
      <c r="BW132" s="418"/>
      <c r="BX132" s="418"/>
      <c r="BY132" s="418"/>
      <c r="BZ132" s="418"/>
    </row>
    <row r="133" spans="1:78" s="403" customFormat="1" ht="25.5" x14ac:dyDescent="0.2">
      <c r="A133" s="397" t="s">
        <v>130</v>
      </c>
      <c r="B133" s="398" t="s">
        <v>131</v>
      </c>
      <c r="C133" s="399" t="s">
        <v>681</v>
      </c>
      <c r="D133" s="400"/>
      <c r="E133" s="401"/>
      <c r="F133" s="400"/>
      <c r="G133" s="401"/>
      <c r="H133" s="400">
        <v>1960.49</v>
      </c>
      <c r="I133" s="401">
        <v>2597</v>
      </c>
      <c r="J133" s="399"/>
      <c r="K133" s="402"/>
      <c r="L133" s="399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8"/>
      <c r="AB133" s="418"/>
      <c r="AC133" s="418"/>
      <c r="AD133" s="418"/>
      <c r="AE133" s="418"/>
      <c r="AF133" s="418"/>
      <c r="AG133" s="418"/>
      <c r="AH133" s="418"/>
      <c r="AI133" s="418"/>
      <c r="AJ133" s="418"/>
      <c r="AK133" s="418"/>
      <c r="AL133" s="418"/>
      <c r="AM133" s="418"/>
      <c r="AN133" s="418"/>
      <c r="AO133" s="418"/>
      <c r="AP133" s="418"/>
      <c r="AQ133" s="418"/>
      <c r="AR133" s="418"/>
      <c r="AS133" s="418"/>
      <c r="AT133" s="418"/>
      <c r="AU133" s="418"/>
      <c r="AV133" s="418"/>
      <c r="AW133" s="418"/>
      <c r="AX133" s="418"/>
      <c r="AY133" s="418"/>
      <c r="AZ133" s="418"/>
      <c r="BA133" s="418"/>
      <c r="BB133" s="418"/>
      <c r="BC133" s="418"/>
      <c r="BD133" s="418"/>
      <c r="BE133" s="418"/>
      <c r="BF133" s="418"/>
      <c r="BG133" s="418"/>
      <c r="BH133" s="418"/>
      <c r="BI133" s="418"/>
      <c r="BJ133" s="418"/>
      <c r="BK133" s="418"/>
      <c r="BL133" s="418"/>
      <c r="BM133" s="418"/>
      <c r="BN133" s="418"/>
      <c r="BO133" s="418"/>
      <c r="BP133" s="418"/>
      <c r="BQ133" s="418"/>
      <c r="BR133" s="418"/>
      <c r="BS133" s="418"/>
      <c r="BT133" s="418"/>
      <c r="BU133" s="418"/>
      <c r="BV133" s="418"/>
      <c r="BW133" s="418"/>
      <c r="BX133" s="418"/>
      <c r="BY133" s="418"/>
      <c r="BZ133" s="418"/>
    </row>
    <row r="134" spans="1:78" s="403" customFormat="1" ht="25.5" x14ac:dyDescent="0.2">
      <c r="A134" s="397" t="s">
        <v>134</v>
      </c>
      <c r="B134" s="398" t="s">
        <v>133</v>
      </c>
      <c r="C134" s="399" t="s">
        <v>681</v>
      </c>
      <c r="D134" s="400"/>
      <c r="E134" s="401"/>
      <c r="F134" s="400"/>
      <c r="G134" s="401"/>
      <c r="H134" s="400">
        <v>36.33</v>
      </c>
      <c r="I134" s="401">
        <v>25</v>
      </c>
      <c r="J134" s="399"/>
      <c r="K134" s="402"/>
      <c r="L134" s="399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418"/>
      <c r="AJ134" s="418"/>
      <c r="AK134" s="418"/>
      <c r="AL134" s="418"/>
      <c r="AM134" s="418"/>
      <c r="AN134" s="418"/>
      <c r="AO134" s="418"/>
      <c r="AP134" s="418"/>
      <c r="AQ134" s="418"/>
      <c r="AR134" s="418"/>
      <c r="AS134" s="418"/>
      <c r="AT134" s="418"/>
      <c r="AU134" s="418"/>
      <c r="AV134" s="418"/>
      <c r="AW134" s="418"/>
      <c r="AX134" s="418"/>
      <c r="AY134" s="418"/>
      <c r="AZ134" s="418"/>
      <c r="BA134" s="418"/>
      <c r="BB134" s="418"/>
      <c r="BC134" s="418"/>
      <c r="BD134" s="418"/>
      <c r="BE134" s="418"/>
      <c r="BF134" s="418"/>
      <c r="BG134" s="418"/>
      <c r="BH134" s="418"/>
      <c r="BI134" s="418"/>
      <c r="BJ134" s="418"/>
      <c r="BK134" s="418"/>
      <c r="BL134" s="418"/>
      <c r="BM134" s="418"/>
      <c r="BN134" s="418"/>
      <c r="BO134" s="418"/>
      <c r="BP134" s="418"/>
      <c r="BQ134" s="418"/>
      <c r="BR134" s="418"/>
      <c r="BS134" s="418"/>
      <c r="BT134" s="418"/>
      <c r="BU134" s="418"/>
      <c r="BV134" s="418"/>
      <c r="BW134" s="418"/>
      <c r="BX134" s="418"/>
      <c r="BY134" s="418"/>
      <c r="BZ134" s="418"/>
    </row>
    <row r="135" spans="1:78" s="403" customFormat="1" ht="12.75" x14ac:dyDescent="0.2">
      <c r="A135" s="397" t="s">
        <v>678</v>
      </c>
      <c r="B135" s="398" t="s">
        <v>135</v>
      </c>
      <c r="C135" s="399" t="s">
        <v>681</v>
      </c>
      <c r="D135" s="400"/>
      <c r="E135" s="401"/>
      <c r="F135" s="400"/>
      <c r="G135" s="401"/>
      <c r="H135" s="400">
        <v>1595.58</v>
      </c>
      <c r="I135" s="401">
        <v>2120</v>
      </c>
      <c r="J135" s="399"/>
      <c r="K135" s="402"/>
      <c r="L135" s="399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  <c r="AA135" s="418"/>
      <c r="AB135" s="418"/>
      <c r="AC135" s="418"/>
      <c r="AD135" s="418"/>
      <c r="AE135" s="418"/>
      <c r="AF135" s="418"/>
      <c r="AG135" s="418"/>
      <c r="AH135" s="418"/>
      <c r="AI135" s="418"/>
      <c r="AJ135" s="418"/>
      <c r="AK135" s="418"/>
      <c r="AL135" s="418"/>
      <c r="AM135" s="418"/>
      <c r="AN135" s="418"/>
      <c r="AO135" s="418"/>
      <c r="AP135" s="418"/>
      <c r="AQ135" s="418"/>
      <c r="AR135" s="418"/>
      <c r="AS135" s="418"/>
      <c r="AT135" s="418"/>
      <c r="AU135" s="418"/>
      <c r="AV135" s="418"/>
      <c r="AW135" s="418"/>
      <c r="AX135" s="418"/>
      <c r="AY135" s="418"/>
      <c r="AZ135" s="418"/>
      <c r="BA135" s="418"/>
      <c r="BB135" s="418"/>
      <c r="BC135" s="418"/>
      <c r="BD135" s="418"/>
      <c r="BE135" s="418"/>
      <c r="BF135" s="418"/>
      <c r="BG135" s="418"/>
      <c r="BH135" s="418"/>
      <c r="BI135" s="418"/>
      <c r="BJ135" s="418"/>
      <c r="BK135" s="418"/>
      <c r="BL135" s="418"/>
      <c r="BM135" s="418"/>
      <c r="BN135" s="418"/>
      <c r="BO135" s="418"/>
      <c r="BP135" s="418"/>
      <c r="BQ135" s="418"/>
      <c r="BR135" s="418"/>
      <c r="BS135" s="418"/>
      <c r="BT135" s="418"/>
      <c r="BU135" s="418"/>
      <c r="BV135" s="418"/>
      <c r="BW135" s="418"/>
      <c r="BX135" s="418"/>
      <c r="BY135" s="418"/>
      <c r="BZ135" s="418"/>
    </row>
    <row r="136" spans="1:78" s="403" customFormat="1" ht="12.75" x14ac:dyDescent="0.2">
      <c r="A136" s="397" t="s">
        <v>137</v>
      </c>
      <c r="B136" s="398" t="s">
        <v>138</v>
      </c>
      <c r="C136" s="399" t="s">
        <v>681</v>
      </c>
      <c r="D136" s="400"/>
      <c r="E136" s="401"/>
      <c r="F136" s="400"/>
      <c r="G136" s="401"/>
      <c r="H136" s="400">
        <v>33.659999999999997</v>
      </c>
      <c r="I136" s="401">
        <v>0</v>
      </c>
      <c r="J136" s="399"/>
      <c r="K136" s="402"/>
      <c r="L136" s="399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  <c r="AA136" s="418"/>
      <c r="AB136" s="418"/>
      <c r="AC136" s="418"/>
      <c r="AD136" s="418"/>
      <c r="AE136" s="418"/>
      <c r="AF136" s="418"/>
      <c r="AG136" s="418"/>
      <c r="AH136" s="418"/>
      <c r="AI136" s="418"/>
      <c r="AJ136" s="418"/>
      <c r="AK136" s="418"/>
      <c r="AL136" s="418"/>
      <c r="AM136" s="418"/>
      <c r="AN136" s="418"/>
      <c r="AO136" s="418"/>
      <c r="AP136" s="418"/>
      <c r="AQ136" s="418"/>
      <c r="AR136" s="418"/>
      <c r="AS136" s="418"/>
      <c r="AT136" s="418"/>
      <c r="AU136" s="418"/>
      <c r="AV136" s="418"/>
      <c r="AW136" s="418"/>
      <c r="AX136" s="418"/>
      <c r="AY136" s="418"/>
      <c r="AZ136" s="418"/>
      <c r="BA136" s="418"/>
      <c r="BB136" s="418"/>
      <c r="BC136" s="418"/>
      <c r="BD136" s="418"/>
      <c r="BE136" s="418"/>
      <c r="BF136" s="418"/>
      <c r="BG136" s="418"/>
      <c r="BH136" s="418"/>
      <c r="BI136" s="418"/>
      <c r="BJ136" s="418"/>
      <c r="BK136" s="418"/>
      <c r="BL136" s="418"/>
      <c r="BM136" s="418"/>
      <c r="BN136" s="418"/>
      <c r="BO136" s="418"/>
      <c r="BP136" s="418"/>
      <c r="BQ136" s="418"/>
      <c r="BR136" s="418"/>
      <c r="BS136" s="418"/>
      <c r="BT136" s="418"/>
      <c r="BU136" s="418"/>
      <c r="BV136" s="418"/>
      <c r="BW136" s="418"/>
      <c r="BX136" s="418"/>
      <c r="BY136" s="418"/>
      <c r="BZ136" s="418"/>
    </row>
    <row r="137" spans="1:78" s="403" customFormat="1" ht="25.5" x14ac:dyDescent="0.2">
      <c r="A137" s="397" t="s">
        <v>140</v>
      </c>
      <c r="B137" s="398" t="s">
        <v>141</v>
      </c>
      <c r="C137" s="443" t="s">
        <v>681</v>
      </c>
      <c r="D137" s="400"/>
      <c r="E137" s="401"/>
      <c r="F137" s="400"/>
      <c r="G137" s="401"/>
      <c r="H137" s="400">
        <v>33.659999999999997</v>
      </c>
      <c r="I137" s="401">
        <v>0</v>
      </c>
      <c r="J137" s="399"/>
      <c r="K137" s="402"/>
      <c r="L137" s="399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  <c r="AA137" s="418"/>
      <c r="AB137" s="418"/>
      <c r="AC137" s="418"/>
      <c r="AD137" s="418"/>
      <c r="AE137" s="418"/>
      <c r="AF137" s="418"/>
      <c r="AG137" s="418"/>
      <c r="AH137" s="418"/>
      <c r="AI137" s="418"/>
      <c r="AJ137" s="418"/>
      <c r="AK137" s="418"/>
      <c r="AL137" s="418"/>
      <c r="AM137" s="418"/>
      <c r="AN137" s="418"/>
      <c r="AO137" s="418"/>
      <c r="AP137" s="418"/>
      <c r="AQ137" s="418"/>
      <c r="AR137" s="418"/>
      <c r="AS137" s="418"/>
      <c r="AT137" s="418"/>
      <c r="AU137" s="418"/>
      <c r="AV137" s="418"/>
      <c r="AW137" s="418"/>
      <c r="AX137" s="418"/>
      <c r="AY137" s="418"/>
      <c r="AZ137" s="418"/>
      <c r="BA137" s="418"/>
      <c r="BB137" s="418"/>
      <c r="BC137" s="418"/>
      <c r="BD137" s="418"/>
      <c r="BE137" s="418"/>
      <c r="BF137" s="418"/>
      <c r="BG137" s="418"/>
      <c r="BH137" s="418"/>
      <c r="BI137" s="418"/>
      <c r="BJ137" s="418"/>
      <c r="BK137" s="418"/>
      <c r="BL137" s="418"/>
      <c r="BM137" s="418"/>
      <c r="BN137" s="418"/>
      <c r="BO137" s="418"/>
      <c r="BP137" s="418"/>
      <c r="BQ137" s="418"/>
      <c r="BR137" s="418"/>
      <c r="BS137" s="418"/>
      <c r="BT137" s="418"/>
      <c r="BU137" s="418"/>
      <c r="BV137" s="418"/>
      <c r="BW137" s="418"/>
      <c r="BX137" s="418"/>
      <c r="BY137" s="418"/>
      <c r="BZ137" s="418"/>
    </row>
    <row r="138" spans="1:78" s="403" customFormat="1" ht="12.75" x14ac:dyDescent="0.2">
      <c r="A138" s="397" t="s">
        <v>142</v>
      </c>
      <c r="B138" s="398" t="s">
        <v>143</v>
      </c>
      <c r="C138" s="399" t="s">
        <v>681</v>
      </c>
      <c r="D138" s="400"/>
      <c r="E138" s="401"/>
      <c r="F138" s="400"/>
      <c r="G138" s="401"/>
      <c r="H138" s="400">
        <v>33.659999999999997</v>
      </c>
      <c r="I138" s="401">
        <v>19</v>
      </c>
      <c r="J138" s="399"/>
      <c r="K138" s="402"/>
      <c r="L138" s="399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  <c r="AA138" s="418"/>
      <c r="AB138" s="418"/>
      <c r="AC138" s="418"/>
      <c r="AD138" s="418"/>
      <c r="AE138" s="418"/>
      <c r="AF138" s="418"/>
      <c r="AG138" s="418"/>
      <c r="AH138" s="418"/>
      <c r="AI138" s="418"/>
      <c r="AJ138" s="418"/>
      <c r="AK138" s="418"/>
      <c r="AL138" s="418"/>
      <c r="AM138" s="418"/>
      <c r="AN138" s="418"/>
      <c r="AO138" s="418"/>
      <c r="AP138" s="418"/>
      <c r="AQ138" s="418"/>
      <c r="AR138" s="418"/>
      <c r="AS138" s="418"/>
      <c r="AT138" s="418"/>
      <c r="AU138" s="418"/>
      <c r="AV138" s="418"/>
      <c r="AW138" s="418"/>
      <c r="AX138" s="418"/>
      <c r="AY138" s="418"/>
      <c r="AZ138" s="418"/>
      <c r="BA138" s="418"/>
      <c r="BB138" s="418"/>
      <c r="BC138" s="418"/>
      <c r="BD138" s="418"/>
      <c r="BE138" s="418"/>
      <c r="BF138" s="418"/>
      <c r="BG138" s="418"/>
      <c r="BH138" s="418"/>
      <c r="BI138" s="418"/>
      <c r="BJ138" s="418"/>
      <c r="BK138" s="418"/>
      <c r="BL138" s="418"/>
      <c r="BM138" s="418"/>
      <c r="BN138" s="418"/>
      <c r="BO138" s="418"/>
      <c r="BP138" s="418"/>
      <c r="BQ138" s="418"/>
      <c r="BR138" s="418"/>
      <c r="BS138" s="418"/>
      <c r="BT138" s="418"/>
      <c r="BU138" s="418"/>
      <c r="BV138" s="418"/>
      <c r="BW138" s="418"/>
      <c r="BX138" s="418"/>
      <c r="BY138" s="418"/>
      <c r="BZ138" s="418"/>
    </row>
    <row r="139" spans="1:78" s="403" customFormat="1" ht="12.75" x14ac:dyDescent="0.2">
      <c r="A139" s="397" t="s">
        <v>587</v>
      </c>
      <c r="B139" s="398" t="s">
        <v>145</v>
      </c>
      <c r="C139" s="399" t="s">
        <v>681</v>
      </c>
      <c r="D139" s="400"/>
      <c r="E139" s="401"/>
      <c r="F139" s="400"/>
      <c r="G139" s="401"/>
      <c r="H139" s="400">
        <v>278.37</v>
      </c>
      <c r="I139" s="401">
        <v>398</v>
      </c>
      <c r="J139" s="399"/>
      <c r="K139" s="402"/>
      <c r="L139" s="399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  <c r="AA139" s="418"/>
      <c r="AB139" s="418"/>
      <c r="AC139" s="418"/>
      <c r="AD139" s="418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418"/>
      <c r="AS139" s="418"/>
      <c r="AT139" s="418"/>
      <c r="AU139" s="418"/>
      <c r="AV139" s="418"/>
      <c r="AW139" s="418"/>
      <c r="AX139" s="418"/>
      <c r="AY139" s="418"/>
      <c r="AZ139" s="418"/>
      <c r="BA139" s="418"/>
      <c r="BB139" s="418"/>
      <c r="BC139" s="418"/>
      <c r="BD139" s="418"/>
      <c r="BE139" s="418"/>
      <c r="BF139" s="418"/>
      <c r="BG139" s="418"/>
      <c r="BH139" s="418"/>
      <c r="BI139" s="418"/>
      <c r="BJ139" s="418"/>
      <c r="BK139" s="418"/>
      <c r="BL139" s="418"/>
      <c r="BM139" s="418"/>
      <c r="BN139" s="418"/>
      <c r="BO139" s="418"/>
      <c r="BP139" s="418"/>
      <c r="BQ139" s="418"/>
      <c r="BR139" s="418"/>
      <c r="BS139" s="418"/>
      <c r="BT139" s="418"/>
      <c r="BU139" s="418"/>
      <c r="BV139" s="418"/>
      <c r="BW139" s="418"/>
      <c r="BX139" s="418"/>
      <c r="BY139" s="418"/>
      <c r="BZ139" s="418"/>
    </row>
    <row r="140" spans="1:78" s="403" customFormat="1" ht="12.75" x14ac:dyDescent="0.2">
      <c r="A140" s="397" t="s">
        <v>588</v>
      </c>
      <c r="B140" s="398" t="s">
        <v>147</v>
      </c>
      <c r="C140" s="399" t="s">
        <v>681</v>
      </c>
      <c r="D140" s="400"/>
      <c r="E140" s="401"/>
      <c r="F140" s="400"/>
      <c r="G140" s="401"/>
      <c r="H140" s="400">
        <v>299.67</v>
      </c>
      <c r="I140" s="401">
        <v>426</v>
      </c>
      <c r="J140" s="399"/>
      <c r="K140" s="402"/>
      <c r="L140" s="399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  <c r="AA140" s="418"/>
      <c r="AB140" s="418"/>
      <c r="AC140" s="418"/>
      <c r="AD140" s="418"/>
      <c r="AE140" s="418"/>
      <c r="AF140" s="418"/>
      <c r="AG140" s="418"/>
      <c r="AH140" s="418"/>
      <c r="AI140" s="418"/>
      <c r="AJ140" s="418"/>
      <c r="AK140" s="418"/>
      <c r="AL140" s="418"/>
      <c r="AM140" s="418"/>
      <c r="AN140" s="418"/>
      <c r="AO140" s="418"/>
      <c r="AP140" s="418"/>
      <c r="AQ140" s="418"/>
      <c r="AR140" s="418"/>
      <c r="AS140" s="418"/>
      <c r="AT140" s="418"/>
      <c r="AU140" s="418"/>
      <c r="AV140" s="418"/>
      <c r="AW140" s="418"/>
      <c r="AX140" s="418"/>
      <c r="AY140" s="418"/>
      <c r="AZ140" s="418"/>
      <c r="BA140" s="418"/>
      <c r="BB140" s="418"/>
      <c r="BC140" s="418"/>
      <c r="BD140" s="418"/>
      <c r="BE140" s="418"/>
      <c r="BF140" s="418"/>
      <c r="BG140" s="418"/>
      <c r="BH140" s="418"/>
      <c r="BI140" s="418"/>
      <c r="BJ140" s="418"/>
      <c r="BK140" s="418"/>
      <c r="BL140" s="418"/>
      <c r="BM140" s="418"/>
      <c r="BN140" s="418"/>
      <c r="BO140" s="418"/>
      <c r="BP140" s="418"/>
      <c r="BQ140" s="418"/>
      <c r="BR140" s="418"/>
      <c r="BS140" s="418"/>
      <c r="BT140" s="418"/>
      <c r="BU140" s="418"/>
      <c r="BV140" s="418"/>
      <c r="BW140" s="418"/>
      <c r="BX140" s="418"/>
      <c r="BY140" s="418"/>
      <c r="BZ140" s="418"/>
    </row>
    <row r="141" spans="1:78" s="403" customFormat="1" ht="12.75" x14ac:dyDescent="0.2">
      <c r="A141" s="397">
        <v>0</v>
      </c>
      <c r="B141" s="398" t="s">
        <v>165</v>
      </c>
      <c r="C141" s="399" t="s">
        <v>681</v>
      </c>
      <c r="D141" s="400"/>
      <c r="E141" s="401"/>
      <c r="F141" s="400"/>
      <c r="G141" s="401"/>
      <c r="H141" s="400">
        <v>351.69</v>
      </c>
      <c r="I141" s="401">
        <v>494</v>
      </c>
      <c r="J141" s="399"/>
      <c r="K141" s="402"/>
      <c r="L141" s="399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  <c r="AA141" s="418"/>
      <c r="AB141" s="418"/>
      <c r="AC141" s="418"/>
      <c r="AD141" s="418"/>
      <c r="AE141" s="418"/>
      <c r="AF141" s="418"/>
      <c r="AG141" s="418"/>
      <c r="AH141" s="418"/>
      <c r="AI141" s="418"/>
      <c r="AJ141" s="418"/>
      <c r="AK141" s="418"/>
      <c r="AL141" s="418"/>
      <c r="AM141" s="418"/>
      <c r="AN141" s="418"/>
      <c r="AO141" s="418"/>
      <c r="AP141" s="418"/>
      <c r="AQ141" s="418"/>
      <c r="AR141" s="418"/>
      <c r="AS141" s="418"/>
      <c r="AT141" s="418"/>
      <c r="AU141" s="418"/>
      <c r="AV141" s="418"/>
      <c r="AW141" s="418"/>
      <c r="AX141" s="418"/>
      <c r="AY141" s="418"/>
      <c r="AZ141" s="418"/>
      <c r="BA141" s="418"/>
      <c r="BB141" s="418"/>
      <c r="BC141" s="418"/>
      <c r="BD141" s="418"/>
      <c r="BE141" s="418"/>
      <c r="BF141" s="418"/>
      <c r="BG141" s="418"/>
      <c r="BH141" s="418"/>
      <c r="BI141" s="418"/>
      <c r="BJ141" s="418"/>
      <c r="BK141" s="418"/>
      <c r="BL141" s="418"/>
      <c r="BM141" s="418"/>
      <c r="BN141" s="418"/>
      <c r="BO141" s="418"/>
      <c r="BP141" s="418"/>
      <c r="BQ141" s="418"/>
      <c r="BR141" s="418"/>
      <c r="BS141" s="418"/>
      <c r="BT141" s="418"/>
      <c r="BU141" s="418"/>
      <c r="BV141" s="418"/>
      <c r="BW141" s="418"/>
      <c r="BX141" s="418"/>
      <c r="BY141" s="418"/>
      <c r="BZ141" s="418"/>
    </row>
    <row r="142" spans="1:78" s="433" customFormat="1" ht="25.5" x14ac:dyDescent="0.2">
      <c r="A142" s="427" t="s">
        <v>433</v>
      </c>
      <c r="B142" s="428"/>
      <c r="C142" s="429"/>
      <c r="D142" s="430"/>
      <c r="E142" s="431"/>
      <c r="F142" s="430"/>
      <c r="G142" s="431"/>
      <c r="H142" s="430"/>
      <c r="I142" s="431"/>
      <c r="J142" s="429"/>
      <c r="K142" s="432"/>
      <c r="L142" s="409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  <c r="AA142" s="418"/>
      <c r="AB142" s="418"/>
      <c r="AC142" s="418"/>
      <c r="AD142" s="418"/>
      <c r="AE142" s="418"/>
      <c r="AF142" s="418"/>
      <c r="AG142" s="418"/>
      <c r="AH142" s="418"/>
      <c r="AI142" s="418"/>
      <c r="AJ142" s="418"/>
      <c r="AK142" s="418"/>
      <c r="AL142" s="418"/>
      <c r="AM142" s="418"/>
      <c r="AN142" s="418"/>
      <c r="AO142" s="418"/>
      <c r="AP142" s="418"/>
      <c r="AQ142" s="418"/>
      <c r="AR142" s="418"/>
      <c r="AS142" s="418"/>
      <c r="AT142" s="418"/>
      <c r="AU142" s="418"/>
      <c r="AV142" s="418"/>
      <c r="AW142" s="418"/>
      <c r="AX142" s="418"/>
      <c r="AY142" s="418"/>
      <c r="AZ142" s="418"/>
      <c r="BA142" s="418"/>
      <c r="BB142" s="418"/>
      <c r="BC142" s="418"/>
      <c r="BD142" s="418"/>
      <c r="BE142" s="418"/>
      <c r="BF142" s="418"/>
      <c r="BG142" s="418"/>
      <c r="BH142" s="418"/>
      <c r="BI142" s="418"/>
      <c r="BJ142" s="418"/>
      <c r="BK142" s="418"/>
      <c r="BL142" s="418"/>
      <c r="BM142" s="418"/>
      <c r="BN142" s="418"/>
      <c r="BO142" s="418"/>
      <c r="BP142" s="418"/>
      <c r="BQ142" s="418"/>
      <c r="BR142" s="418"/>
      <c r="BS142" s="418"/>
      <c r="BT142" s="418"/>
      <c r="BU142" s="418"/>
      <c r="BV142" s="418"/>
      <c r="BW142" s="418"/>
      <c r="BX142" s="418"/>
      <c r="BY142" s="418"/>
      <c r="BZ142" s="418"/>
    </row>
    <row r="143" spans="1:78" s="403" customFormat="1" ht="25.5" x14ac:dyDescent="0.2">
      <c r="A143" s="397" t="s">
        <v>107</v>
      </c>
      <c r="B143" s="398">
        <v>67</v>
      </c>
      <c r="C143" s="399" t="s">
        <v>679</v>
      </c>
      <c r="D143" s="400"/>
      <c r="E143" s="401"/>
      <c r="F143" s="400"/>
      <c r="G143" s="401"/>
      <c r="H143" s="400">
        <v>50</v>
      </c>
      <c r="I143" s="401">
        <v>400</v>
      </c>
      <c r="J143" s="399"/>
      <c r="K143" s="402"/>
      <c r="L143" s="399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  <c r="AA143" s="418"/>
      <c r="AB143" s="418"/>
      <c r="AC143" s="418"/>
      <c r="AD143" s="418"/>
      <c r="AE143" s="418"/>
      <c r="AF143" s="418"/>
      <c r="AG143" s="418"/>
      <c r="AH143" s="418"/>
      <c r="AI143" s="418"/>
      <c r="AJ143" s="418"/>
      <c r="AK143" s="418"/>
      <c r="AL143" s="418"/>
      <c r="AM143" s="418"/>
      <c r="AN143" s="418"/>
      <c r="AO143" s="418"/>
      <c r="AP143" s="418"/>
      <c r="AQ143" s="418"/>
      <c r="AR143" s="418"/>
      <c r="AS143" s="418"/>
      <c r="AT143" s="418"/>
      <c r="AU143" s="418"/>
      <c r="AV143" s="418"/>
      <c r="AW143" s="418"/>
      <c r="AX143" s="418"/>
      <c r="AY143" s="418"/>
      <c r="AZ143" s="418"/>
      <c r="BA143" s="418"/>
      <c r="BB143" s="418"/>
      <c r="BC143" s="418"/>
      <c r="BD143" s="418"/>
      <c r="BE143" s="418"/>
      <c r="BF143" s="418"/>
      <c r="BG143" s="418"/>
      <c r="BH143" s="418"/>
      <c r="BI143" s="418"/>
      <c r="BJ143" s="418"/>
      <c r="BK143" s="418"/>
      <c r="BL143" s="418"/>
      <c r="BM143" s="418"/>
      <c r="BN143" s="418"/>
      <c r="BO143" s="418"/>
      <c r="BP143" s="418"/>
      <c r="BQ143" s="418"/>
      <c r="BR143" s="418"/>
      <c r="BS143" s="418"/>
      <c r="BT143" s="418"/>
      <c r="BU143" s="418"/>
      <c r="BV143" s="418"/>
      <c r="BW143" s="418"/>
      <c r="BX143" s="418"/>
      <c r="BY143" s="418"/>
      <c r="BZ143" s="418"/>
    </row>
    <row r="144" spans="1:78" s="403" customFormat="1" ht="12.75" x14ac:dyDescent="0.2">
      <c r="A144" s="397" t="s">
        <v>109</v>
      </c>
      <c r="B144" s="398">
        <v>95</v>
      </c>
      <c r="C144" s="399" t="s">
        <v>679</v>
      </c>
      <c r="D144" s="400"/>
      <c r="E144" s="401"/>
      <c r="F144" s="400"/>
      <c r="G144" s="401"/>
      <c r="H144" s="400">
        <v>60</v>
      </c>
      <c r="I144" s="401">
        <v>600</v>
      </c>
      <c r="J144" s="399"/>
      <c r="K144" s="402"/>
      <c r="L144" s="399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  <c r="AA144" s="418"/>
      <c r="AB144" s="418"/>
      <c r="AC144" s="418"/>
      <c r="AD144" s="418"/>
      <c r="AE144" s="418"/>
      <c r="AF144" s="418"/>
      <c r="AG144" s="418"/>
      <c r="AH144" s="418"/>
      <c r="AI144" s="418"/>
      <c r="AJ144" s="418"/>
      <c r="AK144" s="418"/>
      <c r="AL144" s="418"/>
      <c r="AM144" s="418"/>
      <c r="AN144" s="418"/>
      <c r="AO144" s="418"/>
      <c r="AP144" s="418"/>
      <c r="AQ144" s="418"/>
      <c r="AR144" s="418"/>
      <c r="AS144" s="418"/>
      <c r="AT144" s="418"/>
      <c r="AU144" s="418"/>
      <c r="AV144" s="418"/>
      <c r="AW144" s="418"/>
      <c r="AX144" s="418"/>
      <c r="AY144" s="418"/>
      <c r="AZ144" s="418"/>
      <c r="BA144" s="418"/>
      <c r="BB144" s="418"/>
      <c r="BC144" s="418"/>
      <c r="BD144" s="418"/>
      <c r="BE144" s="418"/>
      <c r="BF144" s="418"/>
      <c r="BG144" s="418"/>
      <c r="BH144" s="418"/>
      <c r="BI144" s="418"/>
      <c r="BJ144" s="418"/>
      <c r="BK144" s="418"/>
      <c r="BL144" s="418"/>
      <c r="BM144" s="418"/>
      <c r="BN144" s="418"/>
      <c r="BO144" s="418"/>
      <c r="BP144" s="418"/>
      <c r="BQ144" s="418"/>
      <c r="BR144" s="418"/>
      <c r="BS144" s="418"/>
      <c r="BT144" s="418"/>
      <c r="BU144" s="418"/>
      <c r="BV144" s="418"/>
      <c r="BW144" s="418"/>
      <c r="BX144" s="418"/>
      <c r="BY144" s="418"/>
      <c r="BZ144" s="418"/>
    </row>
    <row r="145" spans="1:78" s="433" customFormat="1" ht="12.75" x14ac:dyDescent="0.2">
      <c r="A145" s="434" t="s">
        <v>432</v>
      </c>
      <c r="B145" s="435"/>
      <c r="C145" s="429"/>
      <c r="D145" s="430"/>
      <c r="E145" s="431"/>
      <c r="F145" s="430"/>
      <c r="G145" s="431"/>
      <c r="H145" s="430"/>
      <c r="I145" s="431"/>
      <c r="J145" s="429"/>
      <c r="K145" s="432"/>
      <c r="L145" s="409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  <c r="AA145" s="418"/>
      <c r="AB145" s="418"/>
      <c r="AC145" s="418"/>
      <c r="AD145" s="418"/>
      <c r="AE145" s="418"/>
      <c r="AF145" s="418"/>
      <c r="AG145" s="418"/>
      <c r="AH145" s="418"/>
      <c r="AI145" s="418"/>
      <c r="AJ145" s="418"/>
      <c r="AK145" s="418"/>
      <c r="AL145" s="418"/>
      <c r="AM145" s="418"/>
      <c r="AN145" s="418"/>
      <c r="AO145" s="418"/>
      <c r="AP145" s="418"/>
      <c r="AQ145" s="418"/>
      <c r="AR145" s="418"/>
      <c r="AS145" s="418"/>
      <c r="AT145" s="418"/>
      <c r="AU145" s="418"/>
      <c r="AV145" s="418"/>
      <c r="AW145" s="418"/>
      <c r="AX145" s="418"/>
      <c r="AY145" s="418"/>
      <c r="AZ145" s="418"/>
      <c r="BA145" s="418"/>
      <c r="BB145" s="418"/>
      <c r="BC145" s="418"/>
      <c r="BD145" s="418"/>
      <c r="BE145" s="418"/>
      <c r="BF145" s="418"/>
      <c r="BG145" s="418"/>
      <c r="BH145" s="418"/>
      <c r="BI145" s="418"/>
      <c r="BJ145" s="418"/>
      <c r="BK145" s="418"/>
      <c r="BL145" s="418"/>
      <c r="BM145" s="418"/>
      <c r="BN145" s="418"/>
      <c r="BO145" s="418"/>
      <c r="BP145" s="418"/>
      <c r="BQ145" s="418"/>
      <c r="BR145" s="418"/>
      <c r="BS145" s="418"/>
      <c r="BT145" s="418"/>
      <c r="BU145" s="418"/>
      <c r="BV145" s="418"/>
      <c r="BW145" s="418"/>
      <c r="BX145" s="418"/>
      <c r="BY145" s="418"/>
      <c r="BZ145" s="418"/>
    </row>
    <row r="146" spans="1:78" s="403" customFormat="1" ht="12.75" x14ac:dyDescent="0.2">
      <c r="A146" s="402" t="s">
        <v>156</v>
      </c>
      <c r="B146" s="465">
        <v>61</v>
      </c>
      <c r="C146" s="443">
        <v>42654</v>
      </c>
      <c r="D146" s="400"/>
      <c r="E146" s="401"/>
      <c r="F146" s="400"/>
      <c r="G146" s="401"/>
      <c r="H146" s="400">
        <v>30.15</v>
      </c>
      <c r="I146" s="401">
        <v>150</v>
      </c>
      <c r="J146" s="399"/>
      <c r="K146" s="402"/>
      <c r="L146" s="399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  <c r="AA146" s="418"/>
      <c r="AB146" s="418"/>
      <c r="AC146" s="418"/>
      <c r="AD146" s="418"/>
      <c r="AE146" s="418"/>
      <c r="AF146" s="418"/>
      <c r="AG146" s="418"/>
      <c r="AH146" s="418"/>
      <c r="AI146" s="418"/>
      <c r="AJ146" s="418"/>
      <c r="AK146" s="418"/>
      <c r="AL146" s="418"/>
      <c r="AM146" s="418"/>
      <c r="AN146" s="418"/>
      <c r="AO146" s="418"/>
      <c r="AP146" s="418"/>
      <c r="AQ146" s="418"/>
      <c r="AR146" s="418"/>
      <c r="AS146" s="418"/>
      <c r="AT146" s="418"/>
      <c r="AU146" s="418"/>
      <c r="AV146" s="418"/>
      <c r="AW146" s="418"/>
      <c r="AX146" s="418"/>
      <c r="AY146" s="418"/>
      <c r="AZ146" s="418"/>
      <c r="BA146" s="418"/>
      <c r="BB146" s="418"/>
      <c r="BC146" s="418"/>
      <c r="BD146" s="418"/>
      <c r="BE146" s="418"/>
      <c r="BF146" s="418"/>
      <c r="BG146" s="418"/>
      <c r="BH146" s="418"/>
      <c r="BI146" s="418"/>
      <c r="BJ146" s="418"/>
      <c r="BK146" s="418"/>
      <c r="BL146" s="418"/>
      <c r="BM146" s="418"/>
      <c r="BN146" s="418"/>
      <c r="BO146" s="418"/>
      <c r="BP146" s="418"/>
      <c r="BQ146" s="418"/>
      <c r="BR146" s="418"/>
      <c r="BS146" s="418"/>
      <c r="BT146" s="418"/>
      <c r="BU146" s="418"/>
      <c r="BV146" s="418"/>
      <c r="BW146" s="418"/>
      <c r="BX146" s="418"/>
      <c r="BY146" s="418"/>
      <c r="BZ146" s="418"/>
    </row>
    <row r="147" spans="1:78" s="433" customFormat="1" ht="25.5" x14ac:dyDescent="0.2">
      <c r="A147" s="427" t="s">
        <v>431</v>
      </c>
      <c r="B147" s="428"/>
      <c r="C147" s="429"/>
      <c r="D147" s="430"/>
      <c r="E147" s="431"/>
      <c r="F147" s="430"/>
      <c r="G147" s="431"/>
      <c r="H147" s="430"/>
      <c r="I147" s="431"/>
      <c r="J147" s="429"/>
      <c r="K147" s="432"/>
      <c r="L147" s="409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  <c r="AB147" s="418"/>
      <c r="AC147" s="418"/>
      <c r="AD147" s="418"/>
      <c r="AE147" s="418"/>
      <c r="AF147" s="418"/>
      <c r="AG147" s="418"/>
      <c r="AH147" s="418"/>
      <c r="AI147" s="418"/>
      <c r="AJ147" s="418"/>
      <c r="AK147" s="418"/>
      <c r="AL147" s="418"/>
      <c r="AM147" s="418"/>
      <c r="AN147" s="418"/>
      <c r="AO147" s="418"/>
      <c r="AP147" s="418"/>
      <c r="AQ147" s="418"/>
      <c r="AR147" s="418"/>
      <c r="AS147" s="418"/>
      <c r="AT147" s="418"/>
      <c r="AU147" s="418"/>
      <c r="AV147" s="418"/>
      <c r="AW147" s="418"/>
      <c r="AX147" s="418"/>
      <c r="AY147" s="418"/>
      <c r="AZ147" s="418"/>
      <c r="BA147" s="418"/>
      <c r="BB147" s="418"/>
      <c r="BC147" s="418"/>
      <c r="BD147" s="418"/>
      <c r="BE147" s="418"/>
      <c r="BF147" s="418"/>
      <c r="BG147" s="418"/>
      <c r="BH147" s="418"/>
      <c r="BI147" s="418"/>
      <c r="BJ147" s="418"/>
      <c r="BK147" s="418"/>
      <c r="BL147" s="418"/>
      <c r="BM147" s="418"/>
      <c r="BN147" s="418"/>
      <c r="BO147" s="418"/>
      <c r="BP147" s="418"/>
      <c r="BQ147" s="418"/>
      <c r="BR147" s="418"/>
      <c r="BS147" s="418"/>
      <c r="BT147" s="418"/>
      <c r="BU147" s="418"/>
      <c r="BV147" s="418"/>
      <c r="BW147" s="418"/>
      <c r="BX147" s="418"/>
      <c r="BY147" s="418"/>
      <c r="BZ147" s="418"/>
    </row>
    <row r="148" spans="1:78" s="403" customFormat="1" ht="38.25" x14ac:dyDescent="0.2">
      <c r="A148" s="397" t="s">
        <v>40</v>
      </c>
      <c r="B148" s="398">
        <v>95</v>
      </c>
      <c r="C148" s="443" t="s">
        <v>679</v>
      </c>
      <c r="D148" s="400"/>
      <c r="E148" s="401"/>
      <c r="F148" s="400"/>
      <c r="G148" s="401"/>
      <c r="H148" s="400">
        <v>16</v>
      </c>
      <c r="I148" s="401">
        <v>700</v>
      </c>
      <c r="J148" s="399"/>
      <c r="K148" s="402"/>
      <c r="L148" s="399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  <c r="AB148" s="418"/>
      <c r="AC148" s="418"/>
      <c r="AD148" s="418"/>
      <c r="AE148" s="418"/>
      <c r="AF148" s="418"/>
      <c r="AG148" s="418"/>
      <c r="AH148" s="418"/>
      <c r="AI148" s="418"/>
      <c r="AJ148" s="418"/>
      <c r="AK148" s="418"/>
      <c r="AL148" s="418"/>
      <c r="AM148" s="418"/>
      <c r="AN148" s="418"/>
      <c r="AO148" s="418"/>
      <c r="AP148" s="418"/>
      <c r="AQ148" s="418"/>
      <c r="AR148" s="418"/>
      <c r="AS148" s="418"/>
      <c r="AT148" s="418"/>
      <c r="AU148" s="418"/>
      <c r="AV148" s="418"/>
      <c r="AW148" s="418"/>
      <c r="AX148" s="418"/>
      <c r="AY148" s="418"/>
      <c r="AZ148" s="418"/>
      <c r="BA148" s="418"/>
      <c r="BB148" s="418"/>
      <c r="BC148" s="418"/>
      <c r="BD148" s="418"/>
      <c r="BE148" s="418"/>
      <c r="BF148" s="418"/>
      <c r="BG148" s="418"/>
      <c r="BH148" s="418"/>
      <c r="BI148" s="418"/>
      <c r="BJ148" s="418"/>
      <c r="BK148" s="418"/>
      <c r="BL148" s="418"/>
      <c r="BM148" s="418"/>
      <c r="BN148" s="418"/>
      <c r="BO148" s="418"/>
      <c r="BP148" s="418"/>
      <c r="BQ148" s="418"/>
      <c r="BR148" s="418"/>
      <c r="BS148" s="418"/>
      <c r="BT148" s="418"/>
      <c r="BU148" s="418"/>
      <c r="BV148" s="418"/>
      <c r="BW148" s="418"/>
      <c r="BX148" s="418"/>
      <c r="BY148" s="418"/>
      <c r="BZ148" s="418"/>
    </row>
    <row r="149" spans="1:78" s="433" customFormat="1" ht="38.25" x14ac:dyDescent="0.2">
      <c r="A149" s="427" t="s">
        <v>430</v>
      </c>
      <c r="B149" s="436"/>
      <c r="C149" s="437"/>
      <c r="D149" s="430"/>
      <c r="E149" s="431"/>
      <c r="F149" s="430"/>
      <c r="G149" s="431"/>
      <c r="H149" s="430"/>
      <c r="I149" s="431"/>
      <c r="J149" s="429"/>
      <c r="K149" s="432"/>
      <c r="L149" s="409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  <c r="AA149" s="418"/>
      <c r="AB149" s="418"/>
      <c r="AC149" s="418"/>
      <c r="AD149" s="418"/>
      <c r="AE149" s="418"/>
      <c r="AF149" s="418"/>
      <c r="AG149" s="418"/>
      <c r="AH149" s="418"/>
      <c r="AI149" s="418"/>
      <c r="AJ149" s="418"/>
      <c r="AK149" s="418"/>
      <c r="AL149" s="418"/>
      <c r="AM149" s="418"/>
      <c r="AN149" s="418"/>
      <c r="AO149" s="418"/>
      <c r="AP149" s="418"/>
      <c r="AQ149" s="418"/>
      <c r="AR149" s="418"/>
      <c r="AS149" s="418"/>
      <c r="AT149" s="418"/>
      <c r="AU149" s="418"/>
      <c r="AV149" s="418"/>
      <c r="AW149" s="418"/>
      <c r="AX149" s="418"/>
      <c r="AY149" s="418"/>
      <c r="AZ149" s="418"/>
      <c r="BA149" s="418"/>
      <c r="BB149" s="418"/>
      <c r="BC149" s="418"/>
      <c r="BD149" s="418"/>
      <c r="BE149" s="418"/>
      <c r="BF149" s="418"/>
      <c r="BG149" s="418"/>
      <c r="BH149" s="418"/>
      <c r="BI149" s="418"/>
      <c r="BJ149" s="418"/>
      <c r="BK149" s="418"/>
      <c r="BL149" s="418"/>
      <c r="BM149" s="418"/>
      <c r="BN149" s="418"/>
      <c r="BO149" s="418"/>
      <c r="BP149" s="418"/>
      <c r="BQ149" s="418"/>
      <c r="BR149" s="418"/>
      <c r="BS149" s="418"/>
      <c r="BT149" s="418"/>
      <c r="BU149" s="418"/>
      <c r="BV149" s="418"/>
      <c r="BW149" s="418"/>
      <c r="BX149" s="418"/>
      <c r="BY149" s="418"/>
      <c r="BZ149" s="418"/>
    </row>
    <row r="150" spans="1:78" s="418" customFormat="1" ht="25.5" x14ac:dyDescent="0.2">
      <c r="A150" s="412" t="s">
        <v>355</v>
      </c>
      <c r="B150" s="413" t="s">
        <v>356</v>
      </c>
      <c r="C150" s="419" t="s">
        <v>581</v>
      </c>
      <c r="D150" s="415"/>
      <c r="E150" s="416"/>
      <c r="F150" s="415"/>
      <c r="G150" s="416"/>
      <c r="H150" s="415">
        <v>127.54</v>
      </c>
      <c r="I150" s="416">
        <v>241080</v>
      </c>
      <c r="J150" s="414"/>
      <c r="K150" s="417"/>
      <c r="L150" s="409"/>
    </row>
    <row r="151" spans="1:78" s="418" customFormat="1" ht="12.75" x14ac:dyDescent="0.2">
      <c r="A151" s="414"/>
      <c r="B151" s="414"/>
      <c r="C151" s="414"/>
      <c r="D151" s="438">
        <f t="shared" ref="D151:I151" si="0">SUM(D2:D148)</f>
        <v>25775.430000000004</v>
      </c>
      <c r="E151" s="416">
        <f t="shared" si="0"/>
        <v>262920.42000000004</v>
      </c>
      <c r="F151" s="438">
        <f t="shared" si="0"/>
        <v>1581.66</v>
      </c>
      <c r="G151" s="416">
        <f t="shared" si="0"/>
        <v>1323</v>
      </c>
      <c r="H151" s="438">
        <f t="shared" si="0"/>
        <v>7112.44</v>
      </c>
      <c r="I151" s="416">
        <f t="shared" si="0"/>
        <v>10232</v>
      </c>
      <c r="J151" s="438"/>
      <c r="K151" s="414"/>
      <c r="L151" s="409"/>
    </row>
    <row r="152" spans="1:78" s="441" customFormat="1" ht="12.75" x14ac:dyDescent="0.2">
      <c r="A152" s="439"/>
      <c r="B152" s="439"/>
      <c r="C152" s="439"/>
      <c r="D152" s="439"/>
      <c r="E152" s="440"/>
      <c r="F152" s="439"/>
      <c r="G152" s="440"/>
      <c r="H152" s="439"/>
      <c r="I152" s="440"/>
      <c r="J152" s="439"/>
      <c r="K152" s="439"/>
      <c r="L152" s="409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418"/>
      <c r="AJ152" s="418"/>
      <c r="AK152" s="418"/>
      <c r="AL152" s="418"/>
      <c r="AM152" s="418"/>
      <c r="AN152" s="418"/>
      <c r="AO152" s="418"/>
      <c r="AP152" s="418"/>
      <c r="AQ152" s="418"/>
      <c r="AR152" s="418"/>
      <c r="AS152" s="418"/>
      <c r="AT152" s="418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8"/>
      <c r="BL152" s="418"/>
      <c r="BM152" s="418"/>
      <c r="BN152" s="418"/>
      <c r="BO152" s="418"/>
      <c r="BP152" s="418"/>
      <c r="BQ152" s="418"/>
      <c r="BR152" s="418"/>
      <c r="BS152" s="418"/>
      <c r="BT152" s="418"/>
      <c r="BU152" s="418"/>
      <c r="BV152" s="418"/>
      <c r="BW152" s="418"/>
      <c r="BX152" s="418"/>
      <c r="BY152" s="418"/>
      <c r="BZ152" s="418"/>
    </row>
    <row r="153" spans="1:78" s="150" customFormat="1" x14ac:dyDescent="0.25">
      <c r="A153" s="106"/>
      <c r="B153" s="106"/>
      <c r="C153" s="106"/>
      <c r="D153" s="106"/>
      <c r="E153" s="108"/>
      <c r="F153" s="106"/>
      <c r="G153" s="108"/>
      <c r="H153" s="106"/>
      <c r="I153" s="108"/>
      <c r="J153" s="106"/>
      <c r="K153" s="106"/>
      <c r="L153" s="389"/>
      <c r="M153" s="386"/>
      <c r="N153" s="386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</row>
  </sheetData>
  <pageMargins left="0.7" right="0.7" top="0.75" bottom="0.75" header="0.3" footer="0.3"/>
  <pageSetup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20"/>
  <sheetViews>
    <sheetView workbookViewId="0">
      <selection activeCell="E15" sqref="E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674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82"/>
      <c r="B4" s="383"/>
      <c r="C4" s="383"/>
      <c r="D4" s="383"/>
      <c r="E4" s="383"/>
      <c r="F4" s="383"/>
      <c r="G4" s="3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306133.24</v>
      </c>
      <c r="D13" s="34"/>
      <c r="E13" s="35" t="s">
        <v>33</v>
      </c>
      <c r="F13" s="34"/>
      <c r="G13" s="42">
        <v>28538.12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1593</v>
      </c>
      <c r="D15" s="34"/>
      <c r="E15" s="35" t="s">
        <v>10</v>
      </c>
      <c r="F15" s="34"/>
      <c r="G15" s="42">
        <v>1787.24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13726</v>
      </c>
      <c r="D17" s="34"/>
      <c r="E17" s="35" t="s">
        <v>278</v>
      </c>
      <c r="F17" s="34"/>
      <c r="G17" s="42">
        <v>9207.2199999999993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154"/>
  <sheetViews>
    <sheetView zoomScale="110" zoomScaleNormal="110" workbookViewId="0">
      <pane ySplit="2" topLeftCell="A23" activePane="bottomLeft" state="frozen"/>
      <selection pane="bottomLeft" activeCell="C99" sqref="C9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7" style="293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653</v>
      </c>
      <c r="D3" s="257"/>
      <c r="E3" s="258"/>
      <c r="F3" s="257">
        <v>894.45</v>
      </c>
      <c r="G3" s="258">
        <v>1257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652</v>
      </c>
      <c r="D4" s="263"/>
      <c r="E4" s="264"/>
      <c r="F4" s="263">
        <v>51.19</v>
      </c>
      <c r="G4" s="264">
        <v>10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651</v>
      </c>
      <c r="D6" s="257"/>
      <c r="E6" s="258"/>
      <c r="F6" s="257">
        <v>59.3</v>
      </c>
      <c r="G6" s="258">
        <v>22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657</v>
      </c>
      <c r="D7" s="263"/>
      <c r="E7" s="264"/>
      <c r="F7" s="263">
        <v>55.92</v>
      </c>
      <c r="G7" s="264">
        <v>17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653</v>
      </c>
      <c r="D8" s="263"/>
      <c r="E8" s="264"/>
      <c r="F8" s="263">
        <v>64.73</v>
      </c>
      <c r="G8" s="264">
        <v>19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653</v>
      </c>
      <c r="D9" s="263"/>
      <c r="E9" s="264"/>
      <c r="F9" s="263">
        <v>54.86</v>
      </c>
      <c r="G9" s="264">
        <v>3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652</v>
      </c>
      <c r="D10" s="263"/>
      <c r="E10" s="264"/>
      <c r="F10" s="263">
        <v>110.02</v>
      </c>
      <c r="G10" s="264">
        <v>97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652</v>
      </c>
      <c r="D11" s="263"/>
      <c r="E11" s="264"/>
      <c r="F11" s="263">
        <v>70.13</v>
      </c>
      <c r="G11" s="264">
        <v>38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673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84" customFormat="1" ht="26.25" x14ac:dyDescent="0.25">
      <c r="A13" s="267" t="s">
        <v>655</v>
      </c>
      <c r="B13" s="268">
        <v>3023189549</v>
      </c>
      <c r="C13" s="245" t="s">
        <v>652</v>
      </c>
      <c r="D13" s="269"/>
      <c r="E13" s="270"/>
      <c r="F13" s="269">
        <v>44.43</v>
      </c>
      <c r="G13" s="270">
        <v>0</v>
      </c>
      <c r="H13" s="269"/>
      <c r="I13" s="270"/>
      <c r="J13" s="245" t="s">
        <v>10</v>
      </c>
      <c r="K13" s="267"/>
      <c r="L13" s="245"/>
      <c r="M13" s="246"/>
      <c r="N13" s="246"/>
    </row>
    <row r="14" spans="1:14" s="149" customFormat="1" ht="26.25" x14ac:dyDescent="0.25">
      <c r="A14" s="260" t="s">
        <v>47</v>
      </c>
      <c r="B14" s="261">
        <v>3034878837</v>
      </c>
      <c r="C14" s="262" t="s">
        <v>652</v>
      </c>
      <c r="D14" s="263"/>
      <c r="E14" s="264"/>
      <c r="F14" s="263">
        <v>59.3</v>
      </c>
      <c r="G14" s="264">
        <v>22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84" customFormat="1" x14ac:dyDescent="0.25">
      <c r="A15" s="267" t="s">
        <v>64</v>
      </c>
      <c r="B15" s="268">
        <v>3025670416</v>
      </c>
      <c r="C15" s="245" t="s">
        <v>614</v>
      </c>
      <c r="D15" s="269"/>
      <c r="E15" s="270"/>
      <c r="F15" s="269">
        <v>52.7</v>
      </c>
      <c r="G15" s="270">
        <v>17</v>
      </c>
      <c r="H15" s="269"/>
      <c r="I15" s="270"/>
      <c r="J15" s="245" t="s">
        <v>10</v>
      </c>
      <c r="K15" s="267"/>
      <c r="L15" s="245"/>
      <c r="M15" s="246"/>
      <c r="N15" s="246"/>
    </row>
    <row r="16" spans="1:14" s="149" customFormat="1" x14ac:dyDescent="0.25">
      <c r="A16" s="260" t="s">
        <v>65</v>
      </c>
      <c r="B16" s="261">
        <v>3023110891</v>
      </c>
      <c r="C16" s="262" t="s">
        <v>652</v>
      </c>
      <c r="D16" s="263"/>
      <c r="E16" s="264"/>
      <c r="F16" s="263">
        <v>91.77</v>
      </c>
      <c r="G16" s="264">
        <v>70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665</v>
      </c>
      <c r="D17" s="263"/>
      <c r="E17" s="264"/>
      <c r="F17" s="263">
        <v>37.6</v>
      </c>
      <c r="G17" s="264">
        <v>21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665</v>
      </c>
      <c r="D18" s="263"/>
      <c r="E18" s="264"/>
      <c r="F18" s="263">
        <v>44.43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8" customFormat="1" ht="36.75" customHeight="1" x14ac:dyDescent="0.25">
      <c r="A20" s="483" t="s">
        <v>709</v>
      </c>
      <c r="B20" s="484">
        <v>15145888</v>
      </c>
      <c r="C20" s="256"/>
      <c r="D20" s="257"/>
      <c r="E20" s="258"/>
      <c r="F20" s="257"/>
      <c r="G20" s="258"/>
      <c r="H20" s="257"/>
      <c r="I20" s="258"/>
      <c r="J20" s="256"/>
      <c r="K20" s="254"/>
      <c r="L20" s="256"/>
      <c r="M20" s="259"/>
      <c r="N20" s="259"/>
    </row>
    <row r="21" spans="1:14" s="149" customFormat="1" ht="26.25" x14ac:dyDescent="0.25">
      <c r="A21" s="260" t="s">
        <v>310</v>
      </c>
      <c r="B21" s="261">
        <v>8463322</v>
      </c>
      <c r="C21" s="262" t="s">
        <v>666</v>
      </c>
      <c r="D21" s="263">
        <v>6245.71</v>
      </c>
      <c r="E21" s="264">
        <v>97700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490</v>
      </c>
    </row>
    <row r="22" spans="1:14" s="149" customFormat="1" x14ac:dyDescent="0.25">
      <c r="A22" s="260" t="s">
        <v>113</v>
      </c>
      <c r="B22" s="261">
        <v>5089282</v>
      </c>
      <c r="C22" s="262" t="s">
        <v>666</v>
      </c>
      <c r="D22" s="263">
        <v>545.29999999999995</v>
      </c>
      <c r="E22" s="264">
        <v>2100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14" s="149" customFormat="1" x14ac:dyDescent="0.25">
      <c r="A23" s="260" t="s">
        <v>252</v>
      </c>
      <c r="B23" s="262">
        <v>8239130</v>
      </c>
      <c r="C23" s="262" t="s">
        <v>666</v>
      </c>
      <c r="D23" s="263">
        <v>46.04</v>
      </c>
      <c r="E23" s="264">
        <v>397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14" s="149" customFormat="1" x14ac:dyDescent="0.25">
      <c r="A24" s="260" t="s">
        <v>114</v>
      </c>
      <c r="B24" s="261">
        <v>5089344</v>
      </c>
      <c r="C24" s="262" t="s">
        <v>666</v>
      </c>
      <c r="D24" s="263">
        <v>49.42</v>
      </c>
      <c r="E24" s="264">
        <v>440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14" s="149" customFormat="1" ht="26.25" x14ac:dyDescent="0.25">
      <c r="A25" s="260" t="s">
        <v>19</v>
      </c>
      <c r="B25" s="261">
        <v>7010755</v>
      </c>
      <c r="C25" s="266" t="s">
        <v>666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14" s="149" customFormat="1" x14ac:dyDescent="0.25">
      <c r="A26" s="260" t="s">
        <v>115</v>
      </c>
      <c r="B26" s="261">
        <v>9261200</v>
      </c>
      <c r="C26" s="262" t="s">
        <v>666</v>
      </c>
      <c r="D26" s="263">
        <v>151.63999999999999</v>
      </c>
      <c r="E26" s="264">
        <v>1635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14" s="149" customFormat="1" x14ac:dyDescent="0.25">
      <c r="A27" s="260" t="s">
        <v>116</v>
      </c>
      <c r="B27" s="261">
        <v>5105092</v>
      </c>
      <c r="C27" s="262" t="s">
        <v>666</v>
      </c>
      <c r="D27" s="263">
        <v>499.34</v>
      </c>
      <c r="E27" s="264">
        <v>5757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14" s="149" customFormat="1" x14ac:dyDescent="0.25">
      <c r="A28" s="260" t="s">
        <v>119</v>
      </c>
      <c r="B28" s="261">
        <v>5074402</v>
      </c>
      <c r="C28" s="262" t="s">
        <v>668</v>
      </c>
      <c r="D28" s="263">
        <v>14.6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14" s="149" customFormat="1" x14ac:dyDescent="0.25">
      <c r="A29" s="260" t="s">
        <v>248</v>
      </c>
      <c r="B29" s="261">
        <v>5264802</v>
      </c>
      <c r="C29" s="262" t="s">
        <v>668</v>
      </c>
      <c r="D29" s="263">
        <v>111.29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14" s="149" customFormat="1" x14ac:dyDescent="0.25">
      <c r="A30" s="260" t="s">
        <v>264</v>
      </c>
      <c r="B30" s="261">
        <v>8234139</v>
      </c>
      <c r="C30" s="266" t="s">
        <v>668</v>
      </c>
      <c r="D30" s="263">
        <v>18.170000000000002</v>
      </c>
      <c r="E30" s="264">
        <v>45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14" s="149" customFormat="1" x14ac:dyDescent="0.25">
      <c r="A31" s="260" t="s">
        <v>250</v>
      </c>
      <c r="B31" s="261">
        <v>5074495</v>
      </c>
      <c r="C31" s="262" t="s">
        <v>668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14" s="149" customFormat="1" ht="26.25" x14ac:dyDescent="0.25">
      <c r="A32" s="260" t="s">
        <v>123</v>
      </c>
      <c r="B32" s="261">
        <v>5036644</v>
      </c>
      <c r="C32" s="262" t="s">
        <v>670</v>
      </c>
      <c r="D32" s="263">
        <v>197.04</v>
      </c>
      <c r="E32" s="264">
        <v>970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49" customFormat="1" ht="26.25" x14ac:dyDescent="0.25">
      <c r="A33" s="260" t="s">
        <v>127</v>
      </c>
      <c r="B33" s="261">
        <v>5020429</v>
      </c>
      <c r="C33" s="262" t="s">
        <v>670</v>
      </c>
      <c r="D33" s="263">
        <v>21.97</v>
      </c>
      <c r="E33" s="264">
        <v>150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670</v>
      </c>
      <c r="D34" s="263">
        <v>203.49</v>
      </c>
      <c r="E34" s="264">
        <v>1017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670</v>
      </c>
      <c r="D35" s="263">
        <v>178.27</v>
      </c>
      <c r="E35" s="264">
        <v>2118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670</v>
      </c>
      <c r="D36" s="263">
        <v>114.88</v>
      </c>
      <c r="E36" s="264">
        <v>1300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670</v>
      </c>
      <c r="D37" s="263">
        <v>717.26</v>
      </c>
      <c r="E37" s="264">
        <v>8640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670</v>
      </c>
      <c r="D38" s="263">
        <v>54.72</v>
      </c>
      <c r="E38" s="264">
        <v>508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670</v>
      </c>
      <c r="D39" s="263">
        <v>22.41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24" customFormat="1" ht="26.25" x14ac:dyDescent="0.25">
      <c r="A40" s="317" t="s">
        <v>254</v>
      </c>
      <c r="B40" s="318">
        <v>4955887</v>
      </c>
      <c r="C40" s="322" t="s">
        <v>541</v>
      </c>
      <c r="D40" s="320">
        <v>0</v>
      </c>
      <c r="E40" s="321">
        <v>0</v>
      </c>
      <c r="F40" s="320"/>
      <c r="G40" s="321"/>
      <c r="H40" s="320"/>
      <c r="I40" s="321"/>
      <c r="J40" s="322" t="s">
        <v>33</v>
      </c>
      <c r="K40" s="317"/>
      <c r="L40" s="322"/>
      <c r="M40" s="323" t="s">
        <v>447</v>
      </c>
      <c r="N40" s="323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670</v>
      </c>
      <c r="D41" s="263">
        <v>349.11</v>
      </c>
      <c r="E41" s="264">
        <v>3580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670</v>
      </c>
      <c r="D42" s="263">
        <v>22.41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671</v>
      </c>
      <c r="D43" s="263">
        <v>15.96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670</v>
      </c>
      <c r="D44" s="263">
        <v>1171.43</v>
      </c>
      <c r="E44" s="264">
        <v>10500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670</v>
      </c>
      <c r="D45" s="263">
        <v>25.5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670</v>
      </c>
      <c r="D46" s="263">
        <v>298.2</v>
      </c>
      <c r="E46" s="264">
        <v>1260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149" customFormat="1" ht="26.25" x14ac:dyDescent="0.25">
      <c r="A47" s="260" t="s">
        <v>242</v>
      </c>
      <c r="B47" s="261">
        <v>4426036</v>
      </c>
      <c r="C47" s="262" t="s">
        <v>670</v>
      </c>
      <c r="D47" s="263">
        <v>361.24</v>
      </c>
      <c r="E47" s="264">
        <v>2100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456</v>
      </c>
    </row>
    <row r="48" spans="1:14" s="149" customFormat="1" x14ac:dyDescent="0.25">
      <c r="A48" s="260" t="s">
        <v>34</v>
      </c>
      <c r="B48" s="261">
        <v>113682</v>
      </c>
      <c r="C48" s="262" t="s">
        <v>670</v>
      </c>
      <c r="D48" s="263">
        <v>1153.6500000000001</v>
      </c>
      <c r="E48" s="264">
        <v>13360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670</v>
      </c>
      <c r="D49" s="263">
        <v>681.8</v>
      </c>
      <c r="E49" s="264">
        <v>7435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149" customFormat="1" ht="26.25" x14ac:dyDescent="0.25">
      <c r="A50" s="260" t="s">
        <v>46</v>
      </c>
      <c r="B50" s="261">
        <v>5027654</v>
      </c>
      <c r="C50" s="262" t="s">
        <v>670</v>
      </c>
      <c r="D50" s="263">
        <v>303.26</v>
      </c>
      <c r="E50" s="264">
        <v>3786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670</v>
      </c>
      <c r="D51" s="263">
        <v>15.96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670</v>
      </c>
      <c r="D52" s="263">
        <v>646.65</v>
      </c>
      <c r="E52" s="264">
        <v>3760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671</v>
      </c>
      <c r="D53" s="263">
        <v>22.41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149" customFormat="1" ht="26.25" x14ac:dyDescent="0.25">
      <c r="A54" s="260" t="s">
        <v>17</v>
      </c>
      <c r="B54" s="261">
        <v>8934894</v>
      </c>
      <c r="C54" s="262" t="s">
        <v>670</v>
      </c>
      <c r="D54" s="263">
        <v>14.68</v>
      </c>
      <c r="E54" s="264">
        <v>1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458</v>
      </c>
    </row>
    <row r="55" spans="1:14" s="148" customFormat="1" x14ac:dyDescent="0.25">
      <c r="A55" s="254" t="s">
        <v>240</v>
      </c>
      <c r="B55" s="255">
        <v>5031405</v>
      </c>
      <c r="C55" s="256" t="s">
        <v>670</v>
      </c>
      <c r="D55" s="257">
        <v>1581.4</v>
      </c>
      <c r="E55" s="258">
        <v>18960</v>
      </c>
      <c r="F55" s="257"/>
      <c r="G55" s="258"/>
      <c r="H55" s="257"/>
      <c r="I55" s="258"/>
      <c r="J55" s="256" t="s">
        <v>33</v>
      </c>
      <c r="K55" s="254"/>
      <c r="L55" s="256"/>
      <c r="M55" s="259" t="s">
        <v>447</v>
      </c>
      <c r="N55" s="259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670</v>
      </c>
      <c r="D56" s="263">
        <v>18.7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670</v>
      </c>
      <c r="D57" s="263">
        <v>1371.37</v>
      </c>
      <c r="E57" s="264">
        <v>22440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670</v>
      </c>
      <c r="D58" s="263">
        <v>134.72</v>
      </c>
      <c r="E58" s="264">
        <v>440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39" x14ac:dyDescent="0.25">
      <c r="A59" s="260" t="s">
        <v>153</v>
      </c>
      <c r="B59" s="261">
        <v>8327232</v>
      </c>
      <c r="C59" s="262" t="s">
        <v>669</v>
      </c>
      <c r="D59" s="263">
        <v>38.74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324" customFormat="1" ht="26.25" x14ac:dyDescent="0.25">
      <c r="A60" s="317" t="s">
        <v>255</v>
      </c>
      <c r="B60" s="318">
        <v>6973803</v>
      </c>
      <c r="C60" s="322" t="s">
        <v>561</v>
      </c>
      <c r="D60" s="320">
        <v>0</v>
      </c>
      <c r="E60" s="321">
        <v>0</v>
      </c>
      <c r="F60" s="320"/>
      <c r="G60" s="321"/>
      <c r="H60" s="320"/>
      <c r="I60" s="321"/>
      <c r="J60" s="322" t="s">
        <v>33</v>
      </c>
      <c r="K60" s="317"/>
      <c r="L60" s="322"/>
      <c r="M60" s="323" t="s">
        <v>447</v>
      </c>
      <c r="N60" s="323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668</v>
      </c>
      <c r="D61" s="263">
        <v>1130.04</v>
      </c>
      <c r="E61" s="264">
        <v>14220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324" customFormat="1" x14ac:dyDescent="0.25">
      <c r="A62" s="317" t="s">
        <v>253</v>
      </c>
      <c r="B62" s="318">
        <v>4934809</v>
      </c>
      <c r="C62" s="322" t="s">
        <v>561</v>
      </c>
      <c r="D62" s="320">
        <v>0</v>
      </c>
      <c r="E62" s="321">
        <v>0</v>
      </c>
      <c r="F62" s="320"/>
      <c r="G62" s="321"/>
      <c r="H62" s="320"/>
      <c r="I62" s="321"/>
      <c r="J62" s="322" t="s">
        <v>33</v>
      </c>
      <c r="K62" s="317"/>
      <c r="L62" s="322"/>
      <c r="M62" s="323" t="s">
        <v>447</v>
      </c>
      <c r="N62" s="323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670</v>
      </c>
      <c r="D63" s="263">
        <v>430.11</v>
      </c>
      <c r="E63" s="264">
        <v>3360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670</v>
      </c>
      <c r="D64" s="263">
        <v>27.05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670</v>
      </c>
      <c r="D65" s="263">
        <v>18.079999999999998</v>
      </c>
      <c r="E65" s="264">
        <v>44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49" customFormat="1" ht="26.25" x14ac:dyDescent="0.25">
      <c r="A66" s="260" t="s">
        <v>24</v>
      </c>
      <c r="B66" s="261">
        <v>4892432</v>
      </c>
      <c r="C66" s="262" t="s">
        <v>664</v>
      </c>
      <c r="D66" s="263">
        <v>107.38</v>
      </c>
      <c r="E66" s="264">
        <v>1151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484</v>
      </c>
    </row>
    <row r="67" spans="1:14" s="149" customFormat="1" x14ac:dyDescent="0.25">
      <c r="A67" s="260" t="s">
        <v>21</v>
      </c>
      <c r="B67" s="261">
        <v>4968878</v>
      </c>
      <c r="C67" s="266" t="s">
        <v>664</v>
      </c>
      <c r="D67" s="263">
        <v>69.510000000000005</v>
      </c>
      <c r="E67" s="264">
        <v>692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482</v>
      </c>
    </row>
    <row r="68" spans="1:14" s="149" customFormat="1" ht="26.25" x14ac:dyDescent="0.25">
      <c r="A68" s="260" t="s">
        <v>31</v>
      </c>
      <c r="B68" s="261">
        <v>5041139</v>
      </c>
      <c r="C68" s="262" t="s">
        <v>664</v>
      </c>
      <c r="D68" s="263">
        <v>90.61</v>
      </c>
      <c r="E68" s="264">
        <v>958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488</v>
      </c>
    </row>
    <row r="69" spans="1:14" s="149" customFormat="1" ht="26.25" x14ac:dyDescent="0.25">
      <c r="A69" s="260" t="s">
        <v>256</v>
      </c>
      <c r="B69" s="261">
        <v>5276024</v>
      </c>
      <c r="C69" s="262" t="s">
        <v>664</v>
      </c>
      <c r="D69" s="263">
        <v>22.41</v>
      </c>
      <c r="E69" s="264">
        <v>150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668</v>
      </c>
      <c r="D70" s="263">
        <v>18.39</v>
      </c>
      <c r="E70" s="264">
        <v>48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668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658</v>
      </c>
      <c r="D73" s="263">
        <v>477</v>
      </c>
      <c r="E73" s="264">
        <v>4561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658</v>
      </c>
      <c r="D74" s="263">
        <v>195</v>
      </c>
      <c r="E74" s="264">
        <v>1480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658</v>
      </c>
      <c r="D75" s="263">
        <v>104</v>
      </c>
      <c r="E75" s="264">
        <v>543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658</v>
      </c>
      <c r="D76" s="263">
        <v>41</v>
      </c>
      <c r="E76" s="264">
        <v>107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658</v>
      </c>
      <c r="D77" s="263">
        <v>38</v>
      </c>
      <c r="E77" s="264">
        <v>72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658</v>
      </c>
      <c r="D78" s="263">
        <v>273</v>
      </c>
      <c r="E78" s="264">
        <v>2274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658</v>
      </c>
      <c r="D79" s="263">
        <v>102</v>
      </c>
      <c r="E79" s="264">
        <v>800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658</v>
      </c>
      <c r="D80" s="263">
        <v>53</v>
      </c>
      <c r="E80" s="264">
        <v>231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658</v>
      </c>
      <c r="D81" s="263">
        <v>60</v>
      </c>
      <c r="E81" s="264">
        <v>92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658</v>
      </c>
      <c r="D82" s="263">
        <v>31</v>
      </c>
      <c r="E82" s="264">
        <v>3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658</v>
      </c>
      <c r="D83" s="263">
        <v>34</v>
      </c>
      <c r="E83" s="264">
        <v>34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658</v>
      </c>
      <c r="D84" s="257">
        <v>149</v>
      </c>
      <c r="E84" s="258">
        <v>1036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2" t="s">
        <v>658</v>
      </c>
      <c r="D85" s="263">
        <v>1960</v>
      </c>
      <c r="E85" s="264">
        <v>16320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7815400</v>
      </c>
      <c r="C86" s="262" t="s">
        <v>658</v>
      </c>
      <c r="D86" s="263">
        <v>55</v>
      </c>
      <c r="E86" s="264">
        <v>169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658</v>
      </c>
      <c r="D87" s="263">
        <v>58</v>
      </c>
      <c r="E87" s="264">
        <v>12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658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2" t="s">
        <v>658</v>
      </c>
      <c r="D89" s="263">
        <v>82</v>
      </c>
      <c r="E89" s="264">
        <v>446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ht="26.25" x14ac:dyDescent="0.25">
      <c r="A90" s="260" t="s">
        <v>100</v>
      </c>
      <c r="B90" s="282">
        <v>1323346600</v>
      </c>
      <c r="C90" s="262" t="s">
        <v>658</v>
      </c>
      <c r="D90" s="263">
        <v>232</v>
      </c>
      <c r="E90" s="264">
        <v>1500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x14ac:dyDescent="0.25">
      <c r="A91" s="260" t="s">
        <v>101</v>
      </c>
      <c r="B91" s="282">
        <v>1322699400</v>
      </c>
      <c r="C91" s="262" t="s">
        <v>658</v>
      </c>
      <c r="D91" s="263">
        <v>705</v>
      </c>
      <c r="E91" s="264">
        <v>2280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352" customFormat="1" ht="26.25" x14ac:dyDescent="0.25">
      <c r="A92" s="346" t="s">
        <v>617</v>
      </c>
      <c r="B92" s="347" t="s">
        <v>200</v>
      </c>
      <c r="C92" s="348" t="s">
        <v>658</v>
      </c>
      <c r="D92" s="349">
        <v>283</v>
      </c>
      <c r="E92" s="350">
        <v>3.24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658</v>
      </c>
      <c r="D93" s="263">
        <v>184</v>
      </c>
      <c r="E93" s="264">
        <v>906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658</v>
      </c>
      <c r="D94" s="263">
        <v>127</v>
      </c>
      <c r="E94" s="264">
        <v>777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658</v>
      </c>
      <c r="D95" s="263">
        <v>123</v>
      </c>
      <c r="E95" s="264">
        <v>739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x14ac:dyDescent="0.25">
      <c r="A96" s="260" t="s">
        <v>659</v>
      </c>
      <c r="B96" s="261">
        <v>1323115001</v>
      </c>
      <c r="C96" s="262" t="s">
        <v>658</v>
      </c>
      <c r="D96" s="263">
        <v>2201</v>
      </c>
      <c r="E96" s="264">
        <v>27240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660</v>
      </c>
      <c r="B97" s="261">
        <v>1322673502</v>
      </c>
      <c r="C97" s="262" t="s">
        <v>658</v>
      </c>
      <c r="D97" s="263">
        <v>851</v>
      </c>
      <c r="E97" s="264">
        <v>7381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ht="26.25" x14ac:dyDescent="0.25">
      <c r="A98" s="260" t="s">
        <v>661</v>
      </c>
      <c r="B98" s="261">
        <v>1322725900</v>
      </c>
      <c r="C98" s="262" t="s">
        <v>658</v>
      </c>
      <c r="D98" s="263">
        <v>622</v>
      </c>
      <c r="E98" s="264">
        <v>3480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ht="26.25" x14ac:dyDescent="0.25">
      <c r="A99" s="260" t="s">
        <v>118</v>
      </c>
      <c r="B99" s="261" t="s">
        <v>221</v>
      </c>
      <c r="C99" s="266" t="s">
        <v>658</v>
      </c>
      <c r="D99" s="263">
        <v>92</v>
      </c>
      <c r="E99" s="264">
        <v>885</v>
      </c>
      <c r="F99" s="263"/>
      <c r="G99" s="264"/>
      <c r="H99" s="263"/>
      <c r="I99" s="264"/>
      <c r="J99" s="262" t="s">
        <v>33</v>
      </c>
      <c r="K99" s="260"/>
      <c r="L99" s="262"/>
      <c r="M99" s="265"/>
      <c r="N99" s="265"/>
    </row>
    <row r="100" spans="1:14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2"/>
      <c r="L100" s="249"/>
      <c r="M100" s="253"/>
      <c r="N100" s="253"/>
    </row>
    <row r="101" spans="1:14" s="149" customFormat="1" x14ac:dyDescent="0.25">
      <c r="A101" s="260" t="s">
        <v>65</v>
      </c>
      <c r="B101" s="261" t="s">
        <v>163</v>
      </c>
      <c r="C101" s="262" t="s">
        <v>658</v>
      </c>
      <c r="D101" s="263"/>
      <c r="E101" s="264"/>
      <c r="F101" s="263"/>
      <c r="G101" s="264"/>
      <c r="H101" s="263">
        <v>402.74</v>
      </c>
      <c r="I101" s="264">
        <v>564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37</v>
      </c>
      <c r="B102" s="261" t="s">
        <v>190</v>
      </c>
      <c r="C102" s="262" t="s">
        <v>658</v>
      </c>
      <c r="D102" s="263"/>
      <c r="E102" s="264"/>
      <c r="F102" s="263"/>
      <c r="G102" s="264"/>
      <c r="H102" s="263">
        <v>321.64999999999998</v>
      </c>
      <c r="I102" s="264">
        <v>458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71</v>
      </c>
      <c r="B103" s="261" t="s">
        <v>188</v>
      </c>
      <c r="C103" s="262" t="s">
        <v>658</v>
      </c>
      <c r="D103" s="263"/>
      <c r="E103" s="264"/>
      <c r="F103" s="263"/>
      <c r="G103" s="264"/>
      <c r="H103" s="263">
        <v>31.16</v>
      </c>
      <c r="I103" s="264">
        <v>13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72</v>
      </c>
      <c r="B104" s="261" t="s">
        <v>187</v>
      </c>
      <c r="C104" s="262" t="s">
        <v>658</v>
      </c>
      <c r="D104" s="263"/>
      <c r="E104" s="264"/>
      <c r="F104" s="263"/>
      <c r="G104" s="264"/>
      <c r="H104" s="263">
        <v>53.59</v>
      </c>
      <c r="I104" s="264">
        <v>62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73</v>
      </c>
      <c r="B105" s="261" t="s">
        <v>171</v>
      </c>
      <c r="C105" s="262" t="s">
        <v>658</v>
      </c>
      <c r="D105" s="263"/>
      <c r="E105" s="264"/>
      <c r="F105" s="263"/>
      <c r="G105" s="264"/>
      <c r="H105" s="263">
        <v>60</v>
      </c>
      <c r="I105" s="264">
        <v>74</v>
      </c>
      <c r="J105" s="262"/>
      <c r="K105" s="260"/>
      <c r="L105" s="262"/>
      <c r="M105" s="265"/>
      <c r="N105" s="265"/>
    </row>
    <row r="106" spans="1:14" s="149" customFormat="1" x14ac:dyDescent="0.25">
      <c r="A106" s="260" t="s">
        <v>74</v>
      </c>
      <c r="B106" s="261" t="s">
        <v>170</v>
      </c>
      <c r="C106" s="262" t="s">
        <v>658</v>
      </c>
      <c r="D106" s="263"/>
      <c r="E106" s="264"/>
      <c r="F106" s="263"/>
      <c r="G106" s="264"/>
      <c r="H106" s="263">
        <v>31.16</v>
      </c>
      <c r="I106" s="264">
        <v>7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75</v>
      </c>
      <c r="B107" s="261" t="s">
        <v>189</v>
      </c>
      <c r="C107" s="262" t="s">
        <v>658</v>
      </c>
      <c r="D107" s="263"/>
      <c r="E107" s="264"/>
      <c r="F107" s="263"/>
      <c r="G107" s="264"/>
      <c r="H107" s="263">
        <v>31.16</v>
      </c>
      <c r="I107" s="264">
        <v>15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76</v>
      </c>
      <c r="B108" s="261" t="s">
        <v>169</v>
      </c>
      <c r="C108" s="262" t="s">
        <v>658</v>
      </c>
      <c r="D108" s="263"/>
      <c r="E108" s="264"/>
      <c r="F108" s="263"/>
      <c r="G108" s="264"/>
      <c r="H108" s="263">
        <v>31.16</v>
      </c>
      <c r="I108" s="264">
        <v>0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77</v>
      </c>
      <c r="B109" s="261" t="s">
        <v>168</v>
      </c>
      <c r="C109" s="262" t="s">
        <v>658</v>
      </c>
      <c r="D109" s="263"/>
      <c r="E109" s="264"/>
      <c r="F109" s="263"/>
      <c r="G109" s="264"/>
      <c r="H109" s="263">
        <v>268</v>
      </c>
      <c r="I109" s="264">
        <v>388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78</v>
      </c>
      <c r="B110" s="261" t="s">
        <v>197</v>
      </c>
      <c r="C110" s="262" t="s">
        <v>658</v>
      </c>
      <c r="D110" s="263"/>
      <c r="E110" s="264"/>
      <c r="F110" s="263"/>
      <c r="G110" s="264"/>
      <c r="H110" s="263">
        <v>31.16</v>
      </c>
      <c r="I110" s="264">
        <v>8</v>
      </c>
      <c r="J110" s="262"/>
      <c r="K110" s="260"/>
      <c r="L110" s="262"/>
      <c r="M110" s="265"/>
      <c r="N110" s="265"/>
    </row>
    <row r="111" spans="1:14" s="149" customFormat="1" ht="26.25" x14ac:dyDescent="0.25">
      <c r="A111" s="260" t="s">
        <v>79</v>
      </c>
      <c r="B111" s="261" t="s">
        <v>167</v>
      </c>
      <c r="C111" s="266" t="s">
        <v>658</v>
      </c>
      <c r="D111" s="263"/>
      <c r="E111" s="264"/>
      <c r="F111" s="263"/>
      <c r="G111" s="264"/>
      <c r="H111" s="263">
        <v>31.16</v>
      </c>
      <c r="I111" s="264">
        <v>0</v>
      </c>
      <c r="J111" s="262"/>
      <c r="K111" s="260"/>
      <c r="L111" s="262"/>
      <c r="M111" s="265"/>
      <c r="N111" s="265"/>
    </row>
    <row r="112" spans="1:14" s="149" customFormat="1" ht="26.25" x14ac:dyDescent="0.25">
      <c r="A112" s="283" t="s">
        <v>80</v>
      </c>
      <c r="B112" s="284" t="s">
        <v>177</v>
      </c>
      <c r="C112" s="285" t="s">
        <v>658</v>
      </c>
      <c r="D112" s="286"/>
      <c r="E112" s="287"/>
      <c r="F112" s="286"/>
      <c r="G112" s="287"/>
      <c r="H112" s="286">
        <v>31.16</v>
      </c>
      <c r="I112" s="287">
        <v>0</v>
      </c>
      <c r="J112" s="288"/>
      <c r="K112" s="283" t="s">
        <v>315</v>
      </c>
      <c r="L112" s="262"/>
      <c r="M112" s="265"/>
      <c r="N112" s="265"/>
    </row>
    <row r="113" spans="1:14" s="149" customFormat="1" x14ac:dyDescent="0.25">
      <c r="A113" s="260" t="s">
        <v>81</v>
      </c>
      <c r="B113" s="261" t="s">
        <v>180</v>
      </c>
      <c r="C113" s="262" t="s">
        <v>658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82</v>
      </c>
      <c r="B114" s="261" t="s">
        <v>179</v>
      </c>
      <c r="C114" s="262" t="s">
        <v>658</v>
      </c>
      <c r="D114" s="263"/>
      <c r="E114" s="264"/>
      <c r="F114" s="263"/>
      <c r="G114" s="264"/>
      <c r="H114" s="263">
        <v>112.17</v>
      </c>
      <c r="I114" s="264">
        <v>159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83</v>
      </c>
      <c r="B115" s="261" t="s">
        <v>178</v>
      </c>
      <c r="C115" s="262" t="s">
        <v>658</v>
      </c>
      <c r="D115" s="263"/>
      <c r="E115" s="264"/>
      <c r="F115" s="263"/>
      <c r="G115" s="264"/>
      <c r="H115" s="263">
        <v>31.16</v>
      </c>
      <c r="I115" s="264">
        <v>1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84</v>
      </c>
      <c r="B116" s="261" t="s">
        <v>175</v>
      </c>
      <c r="C116" s="262" t="s">
        <v>658</v>
      </c>
      <c r="D116" s="263"/>
      <c r="E116" s="264"/>
      <c r="F116" s="263"/>
      <c r="G116" s="264"/>
      <c r="H116" s="263">
        <v>31.16</v>
      </c>
      <c r="I116" s="264">
        <v>4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85</v>
      </c>
      <c r="B117" s="261" t="s">
        <v>184</v>
      </c>
      <c r="C117" s="262" t="s">
        <v>658</v>
      </c>
      <c r="D117" s="263"/>
      <c r="E117" s="264"/>
      <c r="F117" s="263"/>
      <c r="G117" s="264"/>
      <c r="H117" s="263">
        <v>31.16</v>
      </c>
      <c r="I117" s="264">
        <v>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86</v>
      </c>
      <c r="B118" s="261" t="s">
        <v>185</v>
      </c>
      <c r="C118" s="262" t="s">
        <v>658</v>
      </c>
      <c r="D118" s="263"/>
      <c r="E118" s="264"/>
      <c r="F118" s="263"/>
      <c r="G118" s="264"/>
      <c r="H118" s="263">
        <v>31.16</v>
      </c>
      <c r="I118" s="264">
        <v>2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87</v>
      </c>
      <c r="B119" s="261" t="s">
        <v>181</v>
      </c>
      <c r="C119" s="262" t="s">
        <v>658</v>
      </c>
      <c r="D119" s="263"/>
      <c r="E119" s="264"/>
      <c r="F119" s="263"/>
      <c r="G119" s="264"/>
      <c r="H119" s="263">
        <v>31.16</v>
      </c>
      <c r="I119" s="264">
        <v>3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88</v>
      </c>
      <c r="B120" s="261" t="s">
        <v>172</v>
      </c>
      <c r="C120" s="262" t="s">
        <v>658</v>
      </c>
      <c r="D120" s="263"/>
      <c r="E120" s="264"/>
      <c r="F120" s="263"/>
      <c r="G120" s="264"/>
      <c r="H120" s="263">
        <v>809.72</v>
      </c>
      <c r="I120" s="264">
        <v>1096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89</v>
      </c>
      <c r="B121" s="261" t="s">
        <v>173</v>
      </c>
      <c r="C121" s="262" t="s">
        <v>658</v>
      </c>
      <c r="D121" s="263"/>
      <c r="E121" s="264"/>
      <c r="F121" s="263"/>
      <c r="G121" s="264"/>
      <c r="H121" s="263">
        <v>372.91</v>
      </c>
      <c r="I121" s="264">
        <v>525</v>
      </c>
      <c r="J121" s="262"/>
      <c r="K121" s="260"/>
      <c r="L121" s="262"/>
      <c r="M121" s="265"/>
      <c r="N121" s="265"/>
    </row>
    <row r="122" spans="1:14" s="149" customFormat="1" ht="26.25" x14ac:dyDescent="0.25">
      <c r="A122" s="260" t="s">
        <v>90</v>
      </c>
      <c r="B122" s="261" t="s">
        <v>174</v>
      </c>
      <c r="C122" s="262" t="s">
        <v>658</v>
      </c>
      <c r="D122" s="263"/>
      <c r="E122" s="264"/>
      <c r="F122" s="263"/>
      <c r="G122" s="264"/>
      <c r="H122" s="263">
        <v>31.16</v>
      </c>
      <c r="I122" s="264">
        <v>1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91</v>
      </c>
      <c r="B123" s="261" t="s">
        <v>182</v>
      </c>
      <c r="C123" s="262" t="s">
        <v>658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92</v>
      </c>
      <c r="B124" s="261" t="s">
        <v>186</v>
      </c>
      <c r="C124" s="262" t="s">
        <v>658</v>
      </c>
      <c r="D124" s="263"/>
      <c r="E124" s="264"/>
      <c r="F124" s="263"/>
      <c r="G124" s="264"/>
      <c r="H124" s="263">
        <v>34.36</v>
      </c>
      <c r="I124" s="264">
        <v>26</v>
      </c>
      <c r="J124" s="262"/>
      <c r="K124" s="260"/>
      <c r="L124" s="262"/>
      <c r="M124" s="265"/>
      <c r="N124" s="265"/>
    </row>
    <row r="125" spans="1:14" s="149" customFormat="1" ht="26.25" x14ac:dyDescent="0.25">
      <c r="A125" s="260" t="s">
        <v>93</v>
      </c>
      <c r="B125" s="261" t="s">
        <v>183</v>
      </c>
      <c r="C125" s="262" t="s">
        <v>658</v>
      </c>
      <c r="D125" s="263"/>
      <c r="E125" s="264"/>
      <c r="F125" s="263"/>
      <c r="G125" s="264"/>
      <c r="H125" s="263">
        <v>31.16</v>
      </c>
      <c r="I125" s="264">
        <v>1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103</v>
      </c>
      <c r="B126" s="261" t="s">
        <v>194</v>
      </c>
      <c r="C126" s="262" t="s">
        <v>658</v>
      </c>
      <c r="D126" s="263"/>
      <c r="E126" s="264"/>
      <c r="F126" s="263"/>
      <c r="G126" s="264"/>
      <c r="H126" s="263">
        <v>31.16</v>
      </c>
      <c r="I126" s="264">
        <v>4</v>
      </c>
      <c r="J126" s="262"/>
      <c r="K126" s="260"/>
      <c r="L126" s="262"/>
      <c r="M126" s="265"/>
      <c r="N126" s="265"/>
    </row>
    <row r="127" spans="1:14" s="184" customFormat="1" ht="26.25" x14ac:dyDescent="0.25">
      <c r="A127" s="267" t="s">
        <v>104</v>
      </c>
      <c r="B127" s="268" t="s">
        <v>195</v>
      </c>
      <c r="C127" s="245" t="s">
        <v>672</v>
      </c>
      <c r="D127" s="269"/>
      <c r="E127" s="270"/>
      <c r="F127" s="269"/>
      <c r="G127" s="270"/>
      <c r="H127" s="269">
        <v>31.16</v>
      </c>
      <c r="I127" s="270">
        <v>0</v>
      </c>
      <c r="J127" s="245"/>
      <c r="K127" s="267"/>
      <c r="L127" s="245"/>
      <c r="M127" s="246"/>
      <c r="N127" s="246"/>
    </row>
    <row r="128" spans="1:14" s="149" customFormat="1" x14ac:dyDescent="0.25">
      <c r="A128" s="260" t="s">
        <v>105</v>
      </c>
      <c r="B128" s="261" t="s">
        <v>196</v>
      </c>
      <c r="C128" s="262" t="s">
        <v>658</v>
      </c>
      <c r="D128" s="263"/>
      <c r="E128" s="264"/>
      <c r="F128" s="263"/>
      <c r="G128" s="264"/>
      <c r="H128" s="263">
        <v>46.74</v>
      </c>
      <c r="I128" s="264">
        <v>2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68</v>
      </c>
      <c r="B129" s="261" t="s">
        <v>166</v>
      </c>
      <c r="C129" s="262" t="s">
        <v>658</v>
      </c>
      <c r="D129" s="263"/>
      <c r="E129" s="264"/>
      <c r="F129" s="263"/>
      <c r="G129" s="264"/>
      <c r="H129" s="263">
        <v>43.98</v>
      </c>
      <c r="I129" s="264">
        <v>44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46</v>
      </c>
      <c r="B130" s="261" t="s">
        <v>193</v>
      </c>
      <c r="C130" s="262" t="s">
        <v>658</v>
      </c>
      <c r="D130" s="263"/>
      <c r="E130" s="264"/>
      <c r="F130" s="263"/>
      <c r="G130" s="264"/>
      <c r="H130" s="263">
        <v>31.16</v>
      </c>
      <c r="I130" s="264">
        <v>18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17</v>
      </c>
      <c r="B131" s="261" t="s">
        <v>192</v>
      </c>
      <c r="C131" s="262" t="s">
        <v>658</v>
      </c>
      <c r="D131" s="263"/>
      <c r="E131" s="264"/>
      <c r="F131" s="263"/>
      <c r="G131" s="264"/>
      <c r="H131" s="263">
        <v>31.16</v>
      </c>
      <c r="I131" s="264">
        <v>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47</v>
      </c>
      <c r="B132" s="261" t="s">
        <v>139</v>
      </c>
      <c r="C132" s="262" t="s">
        <v>670</v>
      </c>
      <c r="D132" s="263"/>
      <c r="E132" s="264"/>
      <c r="F132" s="263"/>
      <c r="G132" s="264"/>
      <c r="H132" s="263">
        <v>43.98</v>
      </c>
      <c r="I132" s="264">
        <v>44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64</v>
      </c>
      <c r="B133" s="261" t="s">
        <v>191</v>
      </c>
      <c r="C133" s="262" t="s">
        <v>658</v>
      </c>
      <c r="D133" s="263"/>
      <c r="E133" s="264"/>
      <c r="F133" s="263"/>
      <c r="G133" s="264"/>
      <c r="H133" s="263">
        <v>330.07</v>
      </c>
      <c r="I133" s="264">
        <v>469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130</v>
      </c>
      <c r="B134" s="261" t="s">
        <v>131</v>
      </c>
      <c r="C134" s="262" t="s">
        <v>670</v>
      </c>
      <c r="D134" s="263"/>
      <c r="E134" s="264"/>
      <c r="F134" s="263"/>
      <c r="G134" s="264"/>
      <c r="H134" s="263">
        <v>1851.65</v>
      </c>
      <c r="I134" s="264">
        <v>2458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134</v>
      </c>
      <c r="B135" s="261" t="s">
        <v>133</v>
      </c>
      <c r="C135" s="262" t="s">
        <v>670</v>
      </c>
      <c r="D135" s="263"/>
      <c r="E135" s="264"/>
      <c r="F135" s="263"/>
      <c r="G135" s="264"/>
      <c r="H135" s="263">
        <v>38.1</v>
      </c>
      <c r="I135" s="264">
        <v>33</v>
      </c>
      <c r="J135" s="262"/>
      <c r="K135" s="260"/>
      <c r="L135" s="262"/>
      <c r="M135" s="265"/>
      <c r="N135" s="265"/>
    </row>
    <row r="136" spans="1:14" s="149" customFormat="1" ht="26.25" x14ac:dyDescent="0.25">
      <c r="A136" s="260" t="s">
        <v>543</v>
      </c>
      <c r="B136" s="261" t="s">
        <v>135</v>
      </c>
      <c r="C136" s="262" t="s">
        <v>670</v>
      </c>
      <c r="D136" s="263"/>
      <c r="E136" s="264"/>
      <c r="F136" s="263"/>
      <c r="G136" s="264"/>
      <c r="H136" s="263">
        <v>2348.9</v>
      </c>
      <c r="I136" s="264">
        <v>3108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137</v>
      </c>
      <c r="B137" s="261" t="s">
        <v>138</v>
      </c>
      <c r="C137" s="262" t="s">
        <v>670</v>
      </c>
      <c r="D137" s="263"/>
      <c r="E137" s="264"/>
      <c r="F137" s="263"/>
      <c r="G137" s="264"/>
      <c r="H137" s="263">
        <v>258.89999999999998</v>
      </c>
      <c r="I137" s="264">
        <v>374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140</v>
      </c>
      <c r="B138" s="261" t="s">
        <v>141</v>
      </c>
      <c r="C138" s="266" t="s">
        <v>670</v>
      </c>
      <c r="D138" s="263"/>
      <c r="E138" s="264"/>
      <c r="F138" s="263"/>
      <c r="G138" s="264"/>
      <c r="H138" s="263">
        <v>31.16</v>
      </c>
      <c r="I138" s="264">
        <v>0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142</v>
      </c>
      <c r="B139" s="261" t="s">
        <v>143</v>
      </c>
      <c r="C139" s="262" t="s">
        <v>670</v>
      </c>
      <c r="D139" s="263"/>
      <c r="E139" s="264"/>
      <c r="F139" s="263"/>
      <c r="G139" s="264"/>
      <c r="H139" s="263">
        <v>31.69</v>
      </c>
      <c r="I139" s="264">
        <v>21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587</v>
      </c>
      <c r="B140" s="261" t="s">
        <v>145</v>
      </c>
      <c r="C140" s="262" t="s">
        <v>670</v>
      </c>
      <c r="D140" s="263"/>
      <c r="E140" s="264"/>
      <c r="F140" s="263"/>
      <c r="G140" s="264"/>
      <c r="H140" s="263">
        <v>377.5</v>
      </c>
      <c r="I140" s="264">
        <v>531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588</v>
      </c>
      <c r="B141" s="261" t="s">
        <v>147</v>
      </c>
      <c r="C141" s="262" t="s">
        <v>670</v>
      </c>
      <c r="D141" s="263"/>
      <c r="E141" s="264"/>
      <c r="F141" s="263"/>
      <c r="G141" s="264"/>
      <c r="H141" s="263">
        <v>288.76</v>
      </c>
      <c r="I141" s="264">
        <v>415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176</v>
      </c>
      <c r="B142" s="261" t="s">
        <v>165</v>
      </c>
      <c r="C142" s="262" t="s">
        <v>670</v>
      </c>
      <c r="D142" s="263"/>
      <c r="E142" s="264"/>
      <c r="F142" s="263"/>
      <c r="G142" s="264"/>
      <c r="H142" s="263">
        <v>316.3</v>
      </c>
      <c r="I142" s="264">
        <v>451</v>
      </c>
      <c r="J142" s="262"/>
      <c r="K142" s="260"/>
      <c r="L142" s="262"/>
      <c r="M142" s="265"/>
      <c r="N142" s="265"/>
    </row>
    <row r="143" spans="1:14" s="199" customFormat="1" ht="26.25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2"/>
      <c r="L143" s="249"/>
      <c r="M143" s="253"/>
      <c r="N143" s="253"/>
    </row>
    <row r="144" spans="1:14" s="381" customFormat="1" ht="26.25" x14ac:dyDescent="0.25">
      <c r="A144" s="375" t="s">
        <v>107</v>
      </c>
      <c r="B144" s="376">
        <v>67</v>
      </c>
      <c r="C144" s="377" t="s">
        <v>663</v>
      </c>
      <c r="D144" s="378" t="s">
        <v>656</v>
      </c>
      <c r="E144" s="379"/>
      <c r="F144" s="378"/>
      <c r="G144" s="379"/>
      <c r="H144" s="378">
        <v>35</v>
      </c>
      <c r="I144" s="379">
        <v>0</v>
      </c>
      <c r="J144" s="377"/>
      <c r="K144" s="375"/>
      <c r="L144" s="377"/>
      <c r="M144" s="380"/>
      <c r="N144" s="380"/>
    </row>
    <row r="145" spans="1:14" s="149" customFormat="1" x14ac:dyDescent="0.25">
      <c r="A145" s="260" t="s">
        <v>109</v>
      </c>
      <c r="B145" s="261">
        <v>95</v>
      </c>
      <c r="C145" s="262" t="s">
        <v>663</v>
      </c>
      <c r="D145" s="263"/>
      <c r="E145" s="264"/>
      <c r="F145" s="263"/>
      <c r="G145" s="264"/>
      <c r="H145" s="263">
        <v>60</v>
      </c>
      <c r="I145" s="264">
        <v>1500</v>
      </c>
      <c r="J145" s="262"/>
      <c r="K145" s="260"/>
      <c r="L145" s="262"/>
      <c r="M145" s="265"/>
      <c r="N145" s="265"/>
    </row>
    <row r="146" spans="1:14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156</v>
      </c>
      <c r="B147" s="291">
        <v>61</v>
      </c>
      <c r="C147" s="266">
        <v>42622</v>
      </c>
      <c r="D147" s="263"/>
      <c r="E147" s="264"/>
      <c r="F147" s="263"/>
      <c r="G147" s="264"/>
      <c r="H147" s="263">
        <v>30.15</v>
      </c>
      <c r="I147" s="264">
        <v>30</v>
      </c>
      <c r="J147" s="262"/>
      <c r="K147" s="260"/>
      <c r="L147" s="262"/>
      <c r="M147" s="265"/>
      <c r="N147" s="265"/>
    </row>
    <row r="148" spans="1:14" s="199" customFormat="1" ht="26.25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2"/>
      <c r="L148" s="249"/>
      <c r="M148" s="253"/>
      <c r="N148" s="253"/>
    </row>
    <row r="149" spans="1:14" s="149" customFormat="1" ht="39" x14ac:dyDescent="0.25">
      <c r="A149" s="260" t="s">
        <v>40</v>
      </c>
      <c r="B149" s="261">
        <v>95</v>
      </c>
      <c r="C149" s="266" t="s">
        <v>663</v>
      </c>
      <c r="D149" s="263"/>
      <c r="E149" s="264"/>
      <c r="F149" s="263"/>
      <c r="G149" s="264"/>
      <c r="H149" s="263">
        <v>16</v>
      </c>
      <c r="I149" s="264">
        <v>800</v>
      </c>
      <c r="J149" s="262"/>
      <c r="K149" s="260"/>
      <c r="L149" s="262"/>
      <c r="M149" s="265"/>
      <c r="N149" s="265"/>
    </row>
    <row r="150" spans="1:14" s="199" customFormat="1" ht="39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49" customFormat="1" ht="26.25" x14ac:dyDescent="0.25">
      <c r="A151" s="260" t="s">
        <v>355</v>
      </c>
      <c r="B151" s="261" t="s">
        <v>356</v>
      </c>
      <c r="C151" s="266" t="s">
        <v>667</v>
      </c>
      <c r="D151" s="263"/>
      <c r="E151" s="264"/>
      <c r="F151" s="263"/>
      <c r="G151" s="264"/>
      <c r="H151" s="263">
        <v>78.87</v>
      </c>
      <c r="I151" s="264">
        <v>143740</v>
      </c>
      <c r="J151" s="262"/>
      <c r="K151" s="260"/>
      <c r="L151" s="262"/>
      <c r="M151" s="265"/>
      <c r="N151" s="265"/>
    </row>
    <row r="152" spans="1:14" s="184" customFormat="1" x14ac:dyDescent="0.25">
      <c r="A152" s="245"/>
      <c r="B152" s="245"/>
      <c r="C152" s="245"/>
      <c r="D152" s="292">
        <f t="shared" ref="D152:I152" si="0">SUM(D2:D149)</f>
        <v>28538.120000000003</v>
      </c>
      <c r="E152" s="270">
        <f t="shared" si="0"/>
        <v>306133.24</v>
      </c>
      <c r="F152" s="292">
        <f t="shared" si="0"/>
        <v>1787.2400000000002</v>
      </c>
      <c r="G152" s="270">
        <f t="shared" si="0"/>
        <v>1593</v>
      </c>
      <c r="H152" s="292">
        <f t="shared" si="0"/>
        <v>9207.2199999999975</v>
      </c>
      <c r="I152" s="270">
        <f t="shared" si="0"/>
        <v>13726</v>
      </c>
      <c r="J152" s="292"/>
      <c r="K152" s="245"/>
      <c r="L152" s="245"/>
      <c r="M152" s="246"/>
      <c r="N152" s="246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</sheetData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662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72"/>
      <c r="B4" s="373"/>
      <c r="C4" s="373"/>
      <c r="D4" s="373"/>
      <c r="E4" s="373"/>
      <c r="F4" s="373"/>
      <c r="G4" s="37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311275.88</v>
      </c>
      <c r="D13" s="34"/>
      <c r="E13" s="35" t="s">
        <v>33</v>
      </c>
      <c r="F13" s="34"/>
      <c r="G13" s="42">
        <v>30104.79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1735</v>
      </c>
      <c r="D15" s="34"/>
      <c r="E15" s="35" t="s">
        <v>10</v>
      </c>
      <c r="F15" s="34"/>
      <c r="G15" s="42">
        <v>1793.32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9001</v>
      </c>
      <c r="D17" s="34"/>
      <c r="E17" s="35" t="s">
        <v>278</v>
      </c>
      <c r="F17" s="34"/>
      <c r="G17" s="42">
        <v>7453.52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53"/>
  <sheetViews>
    <sheetView zoomScale="110" zoomScaleNormal="110" workbookViewId="0">
      <pane ySplit="2" topLeftCell="A63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636</v>
      </c>
      <c r="D3" s="257"/>
      <c r="E3" s="258"/>
      <c r="F3" s="257">
        <v>949.2</v>
      </c>
      <c r="G3" s="258">
        <v>1452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635</v>
      </c>
      <c r="D4" s="263"/>
      <c r="E4" s="264"/>
      <c r="F4" s="263">
        <v>59.38</v>
      </c>
      <c r="G4" s="264">
        <v>24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633</v>
      </c>
      <c r="D6" s="257"/>
      <c r="E6" s="258"/>
      <c r="F6" s="257">
        <v>56.25</v>
      </c>
      <c r="G6" s="258">
        <v>19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637</v>
      </c>
      <c r="D7" s="263"/>
      <c r="E7" s="264"/>
      <c r="F7" s="263">
        <v>48.77</v>
      </c>
      <c r="G7" s="264">
        <v>7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635</v>
      </c>
      <c r="D8" s="263"/>
      <c r="E8" s="264"/>
      <c r="F8" s="263">
        <v>56.97</v>
      </c>
      <c r="G8" s="264">
        <v>7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635</v>
      </c>
      <c r="D9" s="263"/>
      <c r="E9" s="264"/>
      <c r="F9" s="263">
        <v>55.27</v>
      </c>
      <c r="G9" s="264">
        <v>4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635</v>
      </c>
      <c r="D10" s="263"/>
      <c r="E10" s="264"/>
      <c r="F10" s="263">
        <v>57.51</v>
      </c>
      <c r="G10" s="264">
        <v>21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635</v>
      </c>
      <c r="D11" s="263"/>
      <c r="E11" s="264"/>
      <c r="F11" s="263">
        <v>66.849999999999994</v>
      </c>
      <c r="G11" s="264">
        <v>36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634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635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635</v>
      </c>
      <c r="D14" s="263"/>
      <c r="E14" s="264"/>
      <c r="F14" s="263">
        <v>44.43</v>
      </c>
      <c r="G14" s="264">
        <v>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84" customFormat="1" x14ac:dyDescent="0.25">
      <c r="A15" s="267" t="s">
        <v>64</v>
      </c>
      <c r="B15" s="268">
        <v>3025670416</v>
      </c>
      <c r="C15" s="245" t="s">
        <v>614</v>
      </c>
      <c r="D15" s="269"/>
      <c r="E15" s="270"/>
      <c r="F15" s="269">
        <v>52.7</v>
      </c>
      <c r="G15" s="270">
        <v>17</v>
      </c>
      <c r="H15" s="269"/>
      <c r="I15" s="270"/>
      <c r="J15" s="245" t="s">
        <v>10</v>
      </c>
      <c r="K15" s="267"/>
      <c r="L15" s="245"/>
      <c r="M15" s="246"/>
      <c r="N15" s="246"/>
    </row>
    <row r="16" spans="1:14" s="149" customFormat="1" x14ac:dyDescent="0.25">
      <c r="A16" s="260" t="s">
        <v>65</v>
      </c>
      <c r="B16" s="261">
        <v>3023110891</v>
      </c>
      <c r="C16" s="262" t="s">
        <v>635</v>
      </c>
      <c r="D16" s="263"/>
      <c r="E16" s="264"/>
      <c r="F16" s="263">
        <v>121.07</v>
      </c>
      <c r="G16" s="264">
        <v>123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643</v>
      </c>
      <c r="D17" s="263"/>
      <c r="E17" s="264"/>
      <c r="F17" s="263">
        <v>40.89</v>
      </c>
      <c r="G17" s="264">
        <v>25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643</v>
      </c>
      <c r="D18" s="263"/>
      <c r="E18" s="264"/>
      <c r="F18" s="263">
        <v>43.19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645</v>
      </c>
      <c r="D20" s="263">
        <v>6293.9</v>
      </c>
      <c r="E20" s="264">
        <v>101700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639</v>
      </c>
      <c r="D21" s="263">
        <v>568.11</v>
      </c>
      <c r="E21" s="264">
        <v>3000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645</v>
      </c>
      <c r="D22" s="263">
        <v>44</v>
      </c>
      <c r="E22" s="264">
        <v>376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645</v>
      </c>
      <c r="D23" s="263">
        <v>42.74</v>
      </c>
      <c r="E23" s="264">
        <v>360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639</v>
      </c>
      <c r="D24" s="263">
        <v>14.6</v>
      </c>
      <c r="E24" s="264">
        <v>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639</v>
      </c>
      <c r="D25" s="263">
        <v>165.26</v>
      </c>
      <c r="E25" s="264">
        <v>1922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645</v>
      </c>
      <c r="D26" s="263">
        <v>571.16999999999996</v>
      </c>
      <c r="E26" s="264">
        <v>6988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647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647</v>
      </c>
      <c r="D28" s="263">
        <v>112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647</v>
      </c>
      <c r="D29" s="263">
        <v>17.489999999999998</v>
      </c>
      <c r="E29" s="264">
        <v>37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647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649</v>
      </c>
      <c r="D31" s="263">
        <v>232.92</v>
      </c>
      <c r="E31" s="264">
        <v>1782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649</v>
      </c>
      <c r="D32" s="263">
        <v>22.11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649</v>
      </c>
      <c r="D33" s="263">
        <v>220.06</v>
      </c>
      <c r="E33" s="264">
        <v>1458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649</v>
      </c>
      <c r="D34" s="263">
        <v>131.15</v>
      </c>
      <c r="E34" s="264">
        <v>1519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649</v>
      </c>
      <c r="D35" s="263">
        <v>177.5</v>
      </c>
      <c r="E35" s="264">
        <v>2121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649</v>
      </c>
      <c r="D36" s="263">
        <v>720.6</v>
      </c>
      <c r="E36" s="264">
        <v>8640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649</v>
      </c>
      <c r="D37" s="263">
        <v>49.66</v>
      </c>
      <c r="E37" s="264">
        <v>447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649</v>
      </c>
      <c r="D38" s="263">
        <v>22.55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648</v>
      </c>
      <c r="D40" s="263">
        <v>365.38</v>
      </c>
      <c r="E40" s="264">
        <v>3895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649</v>
      </c>
      <c r="D41" s="263">
        <v>22.56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649</v>
      </c>
      <c r="D42" s="263">
        <v>16.04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649</v>
      </c>
      <c r="D43" s="263">
        <v>1182.23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649</v>
      </c>
      <c r="D44" s="263">
        <v>25.64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649</v>
      </c>
      <c r="D45" s="263">
        <v>299.49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649</v>
      </c>
      <c r="D46" s="263">
        <v>363.4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649</v>
      </c>
      <c r="D47" s="263">
        <v>1313.25</v>
      </c>
      <c r="E47" s="264">
        <v>16160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2" t="s">
        <v>649</v>
      </c>
      <c r="D48" s="263">
        <v>766.59</v>
      </c>
      <c r="E48" s="264">
        <v>9087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649</v>
      </c>
      <c r="D49" s="263">
        <v>361.03</v>
      </c>
      <c r="E49" s="264">
        <v>4170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649</v>
      </c>
      <c r="D50" s="263">
        <v>16.04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649</v>
      </c>
      <c r="D51" s="263">
        <v>650.52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649</v>
      </c>
      <c r="D52" s="263">
        <v>22.56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649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649</v>
      </c>
      <c r="D54" s="257">
        <v>1815.65</v>
      </c>
      <c r="E54" s="258">
        <v>21780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649</v>
      </c>
      <c r="D55" s="263">
        <v>18.79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649</v>
      </c>
      <c r="D56" s="263">
        <v>1625.26</v>
      </c>
      <c r="E56" s="264">
        <v>23880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649</v>
      </c>
      <c r="D57" s="263">
        <v>135.28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648</v>
      </c>
      <c r="D58" s="263">
        <v>56.57</v>
      </c>
      <c r="E58" s="264">
        <v>40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59" customFormat="1" ht="26.25" x14ac:dyDescent="0.25">
      <c r="A59" s="353" t="s">
        <v>255</v>
      </c>
      <c r="B59" s="354">
        <v>6973803</v>
      </c>
      <c r="C59" s="355" t="s">
        <v>561</v>
      </c>
      <c r="D59" s="356">
        <v>0</v>
      </c>
      <c r="E59" s="357">
        <v>0</v>
      </c>
      <c r="F59" s="356"/>
      <c r="G59" s="357"/>
      <c r="H59" s="356"/>
      <c r="I59" s="357"/>
      <c r="J59" s="355" t="s">
        <v>33</v>
      </c>
      <c r="K59" s="353"/>
      <c r="L59" s="355"/>
      <c r="M59" s="358" t="s">
        <v>447</v>
      </c>
      <c r="N59" s="358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2" t="s">
        <v>648</v>
      </c>
      <c r="D60" s="263">
        <v>1247.5</v>
      </c>
      <c r="E60" s="264">
        <v>17070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59" customFormat="1" x14ac:dyDescent="0.25">
      <c r="A61" s="353" t="s">
        <v>253</v>
      </c>
      <c r="B61" s="354">
        <v>4934809</v>
      </c>
      <c r="C61" s="355" t="s">
        <v>561</v>
      </c>
      <c r="D61" s="356">
        <v>0</v>
      </c>
      <c r="E61" s="357">
        <v>0</v>
      </c>
      <c r="F61" s="356"/>
      <c r="G61" s="357"/>
      <c r="H61" s="356"/>
      <c r="I61" s="357"/>
      <c r="J61" s="355" t="s">
        <v>33</v>
      </c>
      <c r="K61" s="353"/>
      <c r="L61" s="355"/>
      <c r="M61" s="358" t="s">
        <v>447</v>
      </c>
      <c r="N61" s="358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648</v>
      </c>
      <c r="D62" s="263">
        <v>474.37</v>
      </c>
      <c r="E62" s="264">
        <v>4480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647</v>
      </c>
      <c r="D63" s="263">
        <v>27.21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648</v>
      </c>
      <c r="D64" s="263">
        <v>17.489999999999998</v>
      </c>
      <c r="E64" s="264">
        <v>37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645</v>
      </c>
      <c r="D65" s="263">
        <v>75.13</v>
      </c>
      <c r="E65" s="264">
        <v>764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6" t="s">
        <v>639</v>
      </c>
      <c r="D66" s="263">
        <v>87.83</v>
      </c>
      <c r="E66" s="264">
        <v>939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639</v>
      </c>
      <c r="D67" s="263">
        <v>171.22</v>
      </c>
      <c r="E67" s="264">
        <v>2008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639</v>
      </c>
      <c r="D68" s="263">
        <v>22.55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647</v>
      </c>
      <c r="D69" s="263">
        <v>17.64</v>
      </c>
      <c r="E69" s="264">
        <v>39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647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639</v>
      </c>
      <c r="D72" s="263">
        <v>541</v>
      </c>
      <c r="E72" s="264">
        <v>5539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639</v>
      </c>
      <c r="D73" s="263">
        <v>171</v>
      </c>
      <c r="E73" s="264">
        <v>1307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639</v>
      </c>
      <c r="D74" s="263">
        <v>90</v>
      </c>
      <c r="E74" s="264">
        <v>423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639</v>
      </c>
      <c r="D75" s="263">
        <v>39</v>
      </c>
      <c r="E75" s="264">
        <v>95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639</v>
      </c>
      <c r="D76" s="263">
        <v>37</v>
      </c>
      <c r="E76" s="264">
        <v>69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639</v>
      </c>
      <c r="D77" s="263">
        <v>234</v>
      </c>
      <c r="E77" s="264">
        <v>1993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639</v>
      </c>
      <c r="D78" s="263">
        <v>125</v>
      </c>
      <c r="E78" s="264">
        <v>1115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639</v>
      </c>
      <c r="D79" s="263">
        <v>53</v>
      </c>
      <c r="E79" s="264">
        <v>248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639</v>
      </c>
      <c r="D80" s="263">
        <v>61</v>
      </c>
      <c r="E80" s="264">
        <v>119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639</v>
      </c>
      <c r="D81" s="263">
        <v>31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639</v>
      </c>
      <c r="D82" s="263">
        <v>33</v>
      </c>
      <c r="E82" s="264">
        <v>26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639</v>
      </c>
      <c r="D83" s="257">
        <v>153</v>
      </c>
      <c r="E83" s="258">
        <v>1158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639</v>
      </c>
      <c r="D84" s="263">
        <v>1504</v>
      </c>
      <c r="E84" s="264">
        <v>13560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639</v>
      </c>
      <c r="D85" s="263">
        <v>45</v>
      </c>
      <c r="E85" s="264">
        <v>79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639</v>
      </c>
      <c r="D86" s="263">
        <v>57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639</v>
      </c>
      <c r="D87" s="263">
        <v>31</v>
      </c>
      <c r="E87" s="264">
        <v>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639</v>
      </c>
      <c r="D88" s="263">
        <v>103</v>
      </c>
      <c r="E88" s="264">
        <v>699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639</v>
      </c>
      <c r="D89" s="263">
        <v>408</v>
      </c>
      <c r="E89" s="264">
        <v>3600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639</v>
      </c>
      <c r="D90" s="263">
        <v>1071</v>
      </c>
      <c r="E90" s="264">
        <v>3120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639</v>
      </c>
      <c r="D91" s="349">
        <v>273</v>
      </c>
      <c r="E91" s="350">
        <v>13.88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ht="26.25" x14ac:dyDescent="0.25">
      <c r="A92" s="260" t="s">
        <v>110</v>
      </c>
      <c r="B92" s="261" t="s">
        <v>207</v>
      </c>
      <c r="C92" s="262" t="s">
        <v>639</v>
      </c>
      <c r="D92" s="263">
        <v>183</v>
      </c>
      <c r="E92" s="264">
        <v>976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84" customFormat="1" ht="26.25" x14ac:dyDescent="0.25">
      <c r="A93" s="267" t="s">
        <v>111</v>
      </c>
      <c r="B93" s="268" t="s">
        <v>222</v>
      </c>
      <c r="C93" s="245" t="s">
        <v>616</v>
      </c>
      <c r="D93" s="269">
        <v>50</v>
      </c>
      <c r="E93" s="270">
        <v>98</v>
      </c>
      <c r="F93" s="269"/>
      <c r="G93" s="270"/>
      <c r="H93" s="269"/>
      <c r="I93" s="270"/>
      <c r="J93" s="245" t="s">
        <v>33</v>
      </c>
      <c r="K93" s="267"/>
      <c r="L93" s="245"/>
      <c r="M93" s="246"/>
      <c r="N93" s="246"/>
    </row>
    <row r="94" spans="1:14" s="149" customFormat="1" ht="26.25" x14ac:dyDescent="0.25">
      <c r="A94" s="260" t="s">
        <v>117</v>
      </c>
      <c r="B94" s="261" t="s">
        <v>220</v>
      </c>
      <c r="C94" s="262" t="s">
        <v>639</v>
      </c>
      <c r="D94" s="263">
        <v>116</v>
      </c>
      <c r="E94" s="264">
        <v>724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customHeight="1" x14ac:dyDescent="0.25">
      <c r="A95" s="260" t="s">
        <v>641</v>
      </c>
      <c r="B95" s="261">
        <v>1323115001</v>
      </c>
      <c r="C95" s="266" t="s">
        <v>639</v>
      </c>
      <c r="D95" s="263">
        <v>2021</v>
      </c>
      <c r="E95" s="264">
        <v>2640</v>
      </c>
      <c r="F95" s="263"/>
      <c r="G95" s="264"/>
      <c r="H95" s="263"/>
      <c r="I95" s="264"/>
      <c r="J95" s="262"/>
      <c r="K95" s="260"/>
      <c r="L95" s="262"/>
      <c r="M95" s="265"/>
      <c r="N95" s="265"/>
    </row>
    <row r="96" spans="1:14" s="149" customFormat="1" ht="26.25" customHeight="1" x14ac:dyDescent="0.25">
      <c r="A96" s="260" t="s">
        <v>642</v>
      </c>
      <c r="B96" s="261">
        <v>1322673502</v>
      </c>
      <c r="C96" s="262" t="s">
        <v>639</v>
      </c>
      <c r="D96" s="263">
        <v>75</v>
      </c>
      <c r="E96" s="264">
        <v>7582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640</v>
      </c>
      <c r="B97" s="261">
        <v>1322725900</v>
      </c>
      <c r="C97" s="262" t="s">
        <v>639</v>
      </c>
      <c r="D97" s="263">
        <v>1852.35</v>
      </c>
      <c r="E97" s="264">
        <v>10680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ht="26.25" x14ac:dyDescent="0.25">
      <c r="A98" s="260" t="s">
        <v>118</v>
      </c>
      <c r="B98" s="261" t="s">
        <v>221</v>
      </c>
      <c r="C98" s="266" t="s">
        <v>639</v>
      </c>
      <c r="D98" s="263">
        <v>86</v>
      </c>
      <c r="E98" s="264">
        <v>599</v>
      </c>
      <c r="F98" s="263"/>
      <c r="G98" s="264"/>
      <c r="H98" s="263"/>
      <c r="I98" s="264"/>
      <c r="J98" s="262" t="s">
        <v>33</v>
      </c>
      <c r="K98" s="260"/>
      <c r="L98" s="262"/>
      <c r="M98" s="265"/>
      <c r="N98" s="265"/>
    </row>
    <row r="99" spans="1:14" s="199" customFormat="1" x14ac:dyDescent="0.25">
      <c r="A99" s="280" t="s">
        <v>434</v>
      </c>
      <c r="B99" s="281"/>
      <c r="C99" s="249">
        <v>0</v>
      </c>
      <c r="D99" s="250"/>
      <c r="E99" s="251"/>
      <c r="F99" s="250"/>
      <c r="G99" s="251"/>
      <c r="H99" s="250"/>
      <c r="I99" s="251"/>
      <c r="J99" s="249"/>
      <c r="K99" s="252"/>
      <c r="L99" s="249"/>
      <c r="M99" s="253"/>
      <c r="N99" s="253"/>
    </row>
    <row r="100" spans="1:14" s="149" customFormat="1" x14ac:dyDescent="0.25">
      <c r="A100" s="260" t="s">
        <v>65</v>
      </c>
      <c r="B100" s="261" t="s">
        <v>163</v>
      </c>
      <c r="C100" s="262" t="s">
        <v>639</v>
      </c>
      <c r="D100" s="263"/>
      <c r="E100" s="264"/>
      <c r="F100" s="263"/>
      <c r="G100" s="264"/>
      <c r="H100" s="263">
        <v>302.52999999999997</v>
      </c>
      <c r="I100" s="264">
        <v>433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37</v>
      </c>
      <c r="B101" s="261" t="s">
        <v>190</v>
      </c>
      <c r="C101" s="262" t="s">
        <v>639</v>
      </c>
      <c r="D101" s="263"/>
      <c r="E101" s="264"/>
      <c r="F101" s="263"/>
      <c r="G101" s="264"/>
      <c r="H101" s="263">
        <v>284.17</v>
      </c>
      <c r="I101" s="264">
        <v>409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71</v>
      </c>
      <c r="B102" s="261" t="s">
        <v>188</v>
      </c>
      <c r="C102" s="262" t="s">
        <v>639</v>
      </c>
      <c r="D102" s="263"/>
      <c r="E102" s="264"/>
      <c r="F102" s="263"/>
      <c r="G102" s="264"/>
      <c r="H102" s="263">
        <v>35.43</v>
      </c>
      <c r="I102" s="264">
        <v>28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72</v>
      </c>
      <c r="B103" s="261" t="s">
        <v>187</v>
      </c>
      <c r="C103" s="262" t="s">
        <v>639</v>
      </c>
      <c r="D103" s="263"/>
      <c r="E103" s="264"/>
      <c r="F103" s="263"/>
      <c r="G103" s="264"/>
      <c r="H103" s="263">
        <v>40.770000000000003</v>
      </c>
      <c r="I103" s="264">
        <v>38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73</v>
      </c>
      <c r="B104" s="261" t="s">
        <v>171</v>
      </c>
      <c r="C104" s="262" t="s">
        <v>639</v>
      </c>
      <c r="D104" s="263"/>
      <c r="E104" s="264"/>
      <c r="F104" s="263"/>
      <c r="G104" s="264"/>
      <c r="H104" s="263">
        <v>48.25</v>
      </c>
      <c r="I104" s="264">
        <v>52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74</v>
      </c>
      <c r="B105" s="261" t="s">
        <v>170</v>
      </c>
      <c r="C105" s="262" t="s">
        <v>639</v>
      </c>
      <c r="D105" s="263"/>
      <c r="E105" s="264"/>
      <c r="F105" s="263"/>
      <c r="G105" s="264"/>
      <c r="H105" s="263">
        <v>31.16</v>
      </c>
      <c r="I105" s="264">
        <v>7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75</v>
      </c>
      <c r="B106" s="261" t="s">
        <v>189</v>
      </c>
      <c r="C106" s="262" t="s">
        <v>639</v>
      </c>
      <c r="D106" s="263"/>
      <c r="E106" s="264"/>
      <c r="F106" s="263"/>
      <c r="G106" s="264"/>
      <c r="H106" s="263">
        <v>61.06</v>
      </c>
      <c r="I106" s="264">
        <v>76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76</v>
      </c>
      <c r="B107" s="261" t="s">
        <v>169</v>
      </c>
      <c r="C107" s="262" t="s">
        <v>639</v>
      </c>
      <c r="D107" s="263"/>
      <c r="E107" s="264"/>
      <c r="F107" s="263"/>
      <c r="G107" s="264"/>
      <c r="H107" s="263">
        <v>31.16</v>
      </c>
      <c r="I107" s="264">
        <v>5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77</v>
      </c>
      <c r="B108" s="261" t="s">
        <v>168</v>
      </c>
      <c r="C108" s="262" t="s">
        <v>639</v>
      </c>
      <c r="D108" s="263"/>
      <c r="E108" s="264"/>
      <c r="F108" s="263"/>
      <c r="G108" s="264"/>
      <c r="H108" s="263">
        <v>274.45</v>
      </c>
      <c r="I108" s="264">
        <v>396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78</v>
      </c>
      <c r="B109" s="261" t="s">
        <v>197</v>
      </c>
      <c r="C109" s="262" t="s">
        <v>639</v>
      </c>
      <c r="D109" s="263"/>
      <c r="E109" s="264"/>
      <c r="F109" s="263"/>
      <c r="G109" s="264"/>
      <c r="H109" s="263">
        <v>61.6</v>
      </c>
      <c r="I109" s="264">
        <v>77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79</v>
      </c>
      <c r="B110" s="261" t="s">
        <v>167</v>
      </c>
      <c r="C110" s="266" t="s">
        <v>639</v>
      </c>
      <c r="D110" s="263"/>
      <c r="E110" s="264"/>
      <c r="F110" s="263"/>
      <c r="G110" s="264"/>
      <c r="H110" s="263">
        <v>31.16</v>
      </c>
      <c r="I110" s="264">
        <v>0</v>
      </c>
      <c r="J110" s="262"/>
      <c r="K110" s="260"/>
      <c r="L110" s="262"/>
      <c r="M110" s="265"/>
      <c r="N110" s="265"/>
    </row>
    <row r="111" spans="1:14" s="149" customFormat="1" ht="26.25" x14ac:dyDescent="0.25">
      <c r="A111" s="283" t="s">
        <v>80</v>
      </c>
      <c r="B111" s="284" t="s">
        <v>177</v>
      </c>
      <c r="C111" s="285" t="s">
        <v>639</v>
      </c>
      <c r="D111" s="286"/>
      <c r="E111" s="287"/>
      <c r="F111" s="286"/>
      <c r="G111" s="287"/>
      <c r="H111" s="286">
        <v>31.16</v>
      </c>
      <c r="I111" s="287">
        <v>0</v>
      </c>
      <c r="J111" s="288"/>
      <c r="K111" s="283" t="s">
        <v>315</v>
      </c>
      <c r="L111" s="262"/>
      <c r="M111" s="265"/>
      <c r="N111" s="265"/>
    </row>
    <row r="112" spans="1:14" s="149" customFormat="1" x14ac:dyDescent="0.25">
      <c r="A112" s="260" t="s">
        <v>81</v>
      </c>
      <c r="B112" s="261" t="s">
        <v>180</v>
      </c>
      <c r="C112" s="262" t="s">
        <v>639</v>
      </c>
      <c r="D112" s="263"/>
      <c r="E112" s="264"/>
      <c r="F112" s="263"/>
      <c r="G112" s="264"/>
      <c r="H112" s="263">
        <v>31.16</v>
      </c>
      <c r="I112" s="264">
        <v>9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82</v>
      </c>
      <c r="B113" s="261" t="s">
        <v>179</v>
      </c>
      <c r="C113" s="262" t="s">
        <v>639</v>
      </c>
      <c r="D113" s="263"/>
      <c r="E113" s="264"/>
      <c r="F113" s="263"/>
      <c r="G113" s="264"/>
      <c r="H113" s="263">
        <v>63.73</v>
      </c>
      <c r="I113" s="264">
        <v>81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83</v>
      </c>
      <c r="B114" s="261" t="s">
        <v>178</v>
      </c>
      <c r="C114" s="262" t="s">
        <v>639</v>
      </c>
      <c r="D114" s="263"/>
      <c r="E114" s="264"/>
      <c r="F114" s="263"/>
      <c r="G114" s="264"/>
      <c r="H114" s="263">
        <v>31.16</v>
      </c>
      <c r="I114" s="264">
        <v>10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84</v>
      </c>
      <c r="B115" s="261" t="s">
        <v>175</v>
      </c>
      <c r="C115" s="262" t="s">
        <v>639</v>
      </c>
      <c r="D115" s="263"/>
      <c r="E115" s="264"/>
      <c r="F115" s="263"/>
      <c r="G115" s="264"/>
      <c r="H115" s="263">
        <v>31.16</v>
      </c>
      <c r="I115" s="264">
        <v>7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85</v>
      </c>
      <c r="B116" s="261" t="s">
        <v>184</v>
      </c>
      <c r="C116" s="262" t="s">
        <v>639</v>
      </c>
      <c r="D116" s="263"/>
      <c r="E116" s="264"/>
      <c r="F116" s="263"/>
      <c r="G116" s="264"/>
      <c r="H116" s="263">
        <v>31.16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86</v>
      </c>
      <c r="B117" s="261" t="s">
        <v>185</v>
      </c>
      <c r="C117" s="262" t="s">
        <v>639</v>
      </c>
      <c r="D117" s="263"/>
      <c r="E117" s="264"/>
      <c r="F117" s="263"/>
      <c r="G117" s="264"/>
      <c r="H117" s="263">
        <v>363.73</v>
      </c>
      <c r="I117" s="264">
        <v>513</v>
      </c>
      <c r="J117" s="262"/>
      <c r="K117" s="260"/>
      <c r="L117" s="262"/>
      <c r="M117" s="265"/>
      <c r="N117" s="265"/>
    </row>
    <row r="118" spans="1:14" s="149" customFormat="1" x14ac:dyDescent="0.25">
      <c r="A118" s="260" t="s">
        <v>87</v>
      </c>
      <c r="B118" s="261" t="s">
        <v>181</v>
      </c>
      <c r="C118" s="262" t="s">
        <v>639</v>
      </c>
      <c r="D118" s="263"/>
      <c r="E118" s="264"/>
      <c r="F118" s="263"/>
      <c r="G118" s="264"/>
      <c r="H118" s="263">
        <v>31.16</v>
      </c>
      <c r="I118" s="264">
        <v>9</v>
      </c>
      <c r="J118" s="262"/>
      <c r="K118" s="260"/>
      <c r="L118" s="262"/>
      <c r="M118" s="265"/>
      <c r="N118" s="265"/>
    </row>
    <row r="119" spans="1:14" s="149" customFormat="1" ht="26.25" x14ac:dyDescent="0.25">
      <c r="A119" s="260" t="s">
        <v>88</v>
      </c>
      <c r="B119" s="261" t="s">
        <v>172</v>
      </c>
      <c r="C119" s="262" t="s">
        <v>639</v>
      </c>
      <c r="D119" s="263"/>
      <c r="E119" s="264"/>
      <c r="F119" s="263"/>
      <c r="G119" s="264"/>
      <c r="H119" s="263">
        <v>792.13</v>
      </c>
      <c r="I119" s="264">
        <v>1073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89</v>
      </c>
      <c r="B120" s="261" t="s">
        <v>173</v>
      </c>
      <c r="C120" s="262" t="s">
        <v>639</v>
      </c>
      <c r="D120" s="263"/>
      <c r="E120" s="264"/>
      <c r="F120" s="263"/>
      <c r="G120" s="264"/>
      <c r="H120" s="263">
        <v>502.96</v>
      </c>
      <c r="I120" s="264">
        <v>695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90</v>
      </c>
      <c r="B121" s="261" t="s">
        <v>174</v>
      </c>
      <c r="C121" s="262" t="s">
        <v>639</v>
      </c>
      <c r="D121" s="263"/>
      <c r="E121" s="264"/>
      <c r="F121" s="263"/>
      <c r="G121" s="264"/>
      <c r="H121" s="263">
        <v>48.25</v>
      </c>
      <c r="I121" s="264">
        <v>52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91</v>
      </c>
      <c r="B122" s="261" t="s">
        <v>182</v>
      </c>
      <c r="C122" s="262" t="s">
        <v>639</v>
      </c>
      <c r="D122" s="263"/>
      <c r="E122" s="264"/>
      <c r="F122" s="263"/>
      <c r="G122" s="264"/>
      <c r="H122" s="263">
        <v>65.87</v>
      </c>
      <c r="I122" s="264">
        <v>85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92</v>
      </c>
      <c r="B123" s="261" t="s">
        <v>186</v>
      </c>
      <c r="C123" s="262" t="s">
        <v>639</v>
      </c>
      <c r="D123" s="263"/>
      <c r="E123" s="264"/>
      <c r="F123" s="263"/>
      <c r="G123" s="264"/>
      <c r="H123" s="263">
        <v>40.770000000000003</v>
      </c>
      <c r="I123" s="264">
        <v>38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93</v>
      </c>
      <c r="B124" s="261" t="s">
        <v>183</v>
      </c>
      <c r="C124" s="262" t="s">
        <v>639</v>
      </c>
      <c r="D124" s="263"/>
      <c r="E124" s="264"/>
      <c r="F124" s="263"/>
      <c r="G124" s="264"/>
      <c r="H124" s="263">
        <v>31.16</v>
      </c>
      <c r="I124" s="264">
        <v>18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103</v>
      </c>
      <c r="B125" s="261" t="s">
        <v>194</v>
      </c>
      <c r="C125" s="262" t="s">
        <v>639</v>
      </c>
      <c r="D125" s="263"/>
      <c r="E125" s="264"/>
      <c r="F125" s="263"/>
      <c r="G125" s="264"/>
      <c r="H125" s="263">
        <v>46.48</v>
      </c>
      <c r="I125" s="264">
        <v>4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104</v>
      </c>
      <c r="B126" s="268" t="s">
        <v>195</v>
      </c>
      <c r="C126" s="245" t="s">
        <v>616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105</v>
      </c>
      <c r="B127" s="261" t="s">
        <v>196</v>
      </c>
      <c r="C127" s="262" t="s">
        <v>639</v>
      </c>
      <c r="D127" s="263"/>
      <c r="E127" s="264"/>
      <c r="F127" s="263"/>
      <c r="G127" s="264"/>
      <c r="H127" s="263">
        <v>46.74</v>
      </c>
      <c r="I127" s="264">
        <v>5</v>
      </c>
      <c r="J127" s="262"/>
      <c r="K127" s="260"/>
      <c r="L127" s="262"/>
      <c r="M127" s="265"/>
      <c r="N127" s="265"/>
    </row>
    <row r="128" spans="1:14" s="149" customFormat="1" x14ac:dyDescent="0.25">
      <c r="A128" s="260" t="s">
        <v>68</v>
      </c>
      <c r="B128" s="261" t="s">
        <v>166</v>
      </c>
      <c r="C128" s="262" t="s">
        <v>639</v>
      </c>
      <c r="D128" s="263"/>
      <c r="E128" s="264"/>
      <c r="F128" s="263"/>
      <c r="G128" s="264"/>
      <c r="H128" s="263">
        <v>41.31</v>
      </c>
      <c r="I128" s="264">
        <v>39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46</v>
      </c>
      <c r="B129" s="261" t="s">
        <v>193</v>
      </c>
      <c r="C129" s="262" t="s">
        <v>639</v>
      </c>
      <c r="D129" s="263"/>
      <c r="E129" s="264"/>
      <c r="F129" s="263"/>
      <c r="G129" s="264"/>
      <c r="H129" s="263">
        <v>31.16</v>
      </c>
      <c r="I129" s="264">
        <v>15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17</v>
      </c>
      <c r="B130" s="261" t="s">
        <v>192</v>
      </c>
      <c r="C130" s="262" t="s">
        <v>639</v>
      </c>
      <c r="D130" s="263"/>
      <c r="E130" s="264"/>
      <c r="F130" s="263"/>
      <c r="G130" s="264"/>
      <c r="H130" s="263">
        <v>31.16</v>
      </c>
      <c r="I130" s="264">
        <v>0</v>
      </c>
      <c r="J130" s="262"/>
      <c r="K130" s="260"/>
      <c r="L130" s="262"/>
      <c r="M130" s="265"/>
      <c r="N130" s="265"/>
    </row>
    <row r="131" spans="1:14" s="184" customFormat="1" ht="26.25" x14ac:dyDescent="0.25">
      <c r="A131" s="267" t="s">
        <v>47</v>
      </c>
      <c r="B131" s="268" t="s">
        <v>139</v>
      </c>
      <c r="C131" s="245" t="s">
        <v>606</v>
      </c>
      <c r="D131" s="269"/>
      <c r="E131" s="270"/>
      <c r="F131" s="269"/>
      <c r="G131" s="270"/>
      <c r="H131" s="269">
        <v>38.64</v>
      </c>
      <c r="I131" s="270">
        <v>34</v>
      </c>
      <c r="J131" s="245"/>
      <c r="K131" s="267"/>
      <c r="L131" s="245"/>
      <c r="M131" s="246"/>
      <c r="N131" s="246"/>
    </row>
    <row r="132" spans="1:14" s="149" customFormat="1" x14ac:dyDescent="0.25">
      <c r="A132" s="260" t="s">
        <v>64</v>
      </c>
      <c r="B132" s="261" t="s">
        <v>191</v>
      </c>
      <c r="C132" s="262" t="s">
        <v>639</v>
      </c>
      <c r="D132" s="263"/>
      <c r="E132" s="264"/>
      <c r="F132" s="263"/>
      <c r="G132" s="264"/>
      <c r="H132" s="263">
        <v>125.8</v>
      </c>
      <c r="I132" s="264">
        <v>180</v>
      </c>
      <c r="J132" s="262"/>
      <c r="K132" s="260"/>
      <c r="L132" s="262"/>
      <c r="M132" s="265"/>
      <c r="N132" s="265"/>
    </row>
    <row r="133" spans="1:14" s="184" customFormat="1" ht="26.25" x14ac:dyDescent="0.25">
      <c r="A133" s="267" t="s">
        <v>130</v>
      </c>
      <c r="B133" s="268" t="s">
        <v>131</v>
      </c>
      <c r="C133" s="245" t="s">
        <v>606</v>
      </c>
      <c r="D133" s="269"/>
      <c r="E133" s="270"/>
      <c r="F133" s="269"/>
      <c r="G133" s="270"/>
      <c r="H133" s="269">
        <v>350.72</v>
      </c>
      <c r="I133" s="270">
        <v>496</v>
      </c>
      <c r="J133" s="245"/>
      <c r="K133" s="267"/>
      <c r="L133" s="245"/>
      <c r="M133" s="246"/>
      <c r="N133" s="246"/>
    </row>
    <row r="134" spans="1:14" s="184" customFormat="1" ht="26.25" x14ac:dyDescent="0.25">
      <c r="A134" s="267" t="s">
        <v>134</v>
      </c>
      <c r="B134" s="268" t="s">
        <v>133</v>
      </c>
      <c r="C134" s="245" t="s">
        <v>606</v>
      </c>
      <c r="D134" s="269"/>
      <c r="E134" s="270"/>
      <c r="F134" s="269"/>
      <c r="G134" s="270"/>
      <c r="H134" s="269">
        <v>63.2</v>
      </c>
      <c r="I134" s="270">
        <v>80</v>
      </c>
      <c r="J134" s="245"/>
      <c r="K134" s="267"/>
      <c r="L134" s="245"/>
      <c r="M134" s="246"/>
      <c r="N134" s="246"/>
    </row>
    <row r="135" spans="1:14" s="184" customFormat="1" ht="26.25" x14ac:dyDescent="0.25">
      <c r="A135" s="267" t="s">
        <v>543</v>
      </c>
      <c r="B135" s="268" t="s">
        <v>135</v>
      </c>
      <c r="C135" s="245" t="s">
        <v>606</v>
      </c>
      <c r="D135" s="269"/>
      <c r="E135" s="270"/>
      <c r="F135" s="269"/>
      <c r="G135" s="270"/>
      <c r="H135" s="269">
        <v>1441.61</v>
      </c>
      <c r="I135" s="270">
        <v>1922</v>
      </c>
      <c r="J135" s="245"/>
      <c r="K135" s="267"/>
      <c r="L135" s="245"/>
      <c r="M135" s="246"/>
      <c r="N135" s="246"/>
    </row>
    <row r="136" spans="1:14" s="149" customFormat="1" x14ac:dyDescent="0.25">
      <c r="A136" s="260" t="s">
        <v>137</v>
      </c>
      <c r="B136" s="261" t="s">
        <v>138</v>
      </c>
      <c r="C136" s="262" t="s">
        <v>650</v>
      </c>
      <c r="D136" s="263"/>
      <c r="E136" s="264"/>
      <c r="F136" s="263"/>
      <c r="G136" s="264"/>
      <c r="H136" s="263">
        <v>947.42</v>
      </c>
      <c r="I136" s="264" t="s">
        <v>383</v>
      </c>
      <c r="J136" s="262"/>
      <c r="K136" s="260"/>
      <c r="L136" s="262"/>
      <c r="M136" s="265"/>
      <c r="N136" s="265"/>
    </row>
    <row r="137" spans="1:14" s="184" customFormat="1" ht="26.25" x14ac:dyDescent="0.25">
      <c r="A137" s="267" t="s">
        <v>140</v>
      </c>
      <c r="B137" s="268" t="s">
        <v>141</v>
      </c>
      <c r="C137" s="289" t="s">
        <v>606</v>
      </c>
      <c r="D137" s="269"/>
      <c r="E137" s="270"/>
      <c r="F137" s="269"/>
      <c r="G137" s="270"/>
      <c r="H137" s="269">
        <v>31.16</v>
      </c>
      <c r="I137" s="270">
        <v>0</v>
      </c>
      <c r="J137" s="245"/>
      <c r="K137" s="267"/>
      <c r="L137" s="245"/>
      <c r="M137" s="246"/>
      <c r="N137" s="246"/>
    </row>
    <row r="138" spans="1:14" s="184" customFormat="1" x14ac:dyDescent="0.25">
      <c r="A138" s="267" t="s">
        <v>142</v>
      </c>
      <c r="B138" s="268" t="s">
        <v>143</v>
      </c>
      <c r="C138" s="245" t="s">
        <v>606</v>
      </c>
      <c r="D138" s="269"/>
      <c r="E138" s="270"/>
      <c r="F138" s="269"/>
      <c r="G138" s="270"/>
      <c r="H138" s="269">
        <v>34.36</v>
      </c>
      <c r="I138" s="270">
        <v>26</v>
      </c>
      <c r="J138" s="245"/>
      <c r="K138" s="267"/>
      <c r="L138" s="245"/>
      <c r="M138" s="246"/>
      <c r="N138" s="246"/>
    </row>
    <row r="139" spans="1:14" s="184" customFormat="1" x14ac:dyDescent="0.25">
      <c r="A139" s="267" t="s">
        <v>587</v>
      </c>
      <c r="B139" s="268" t="s">
        <v>145</v>
      </c>
      <c r="C139" s="245" t="s">
        <v>606</v>
      </c>
      <c r="D139" s="269"/>
      <c r="E139" s="270"/>
      <c r="F139" s="269"/>
      <c r="G139" s="270"/>
      <c r="H139" s="269">
        <v>463.18</v>
      </c>
      <c r="I139" s="270">
        <v>643</v>
      </c>
      <c r="J139" s="245"/>
      <c r="K139" s="267"/>
      <c r="L139" s="245"/>
      <c r="M139" s="246"/>
      <c r="N139" s="246"/>
    </row>
    <row r="140" spans="1:14" s="184" customFormat="1" x14ac:dyDescent="0.25">
      <c r="A140" s="267" t="s">
        <v>588</v>
      </c>
      <c r="B140" s="268" t="s">
        <v>147</v>
      </c>
      <c r="C140" s="245" t="s">
        <v>606</v>
      </c>
      <c r="D140" s="269"/>
      <c r="E140" s="270"/>
      <c r="F140" s="269"/>
      <c r="G140" s="270"/>
      <c r="H140" s="269">
        <v>104.38</v>
      </c>
      <c r="I140" s="270">
        <v>147</v>
      </c>
      <c r="J140" s="245"/>
      <c r="K140" s="267"/>
      <c r="L140" s="245"/>
      <c r="M140" s="246"/>
      <c r="N140" s="246"/>
    </row>
    <row r="141" spans="1:14" s="149" customFormat="1" x14ac:dyDescent="0.25">
      <c r="A141" s="260" t="s">
        <v>176</v>
      </c>
      <c r="B141" s="261" t="s">
        <v>165</v>
      </c>
      <c r="C141" s="262" t="s">
        <v>650</v>
      </c>
      <c r="D141" s="263"/>
      <c r="E141" s="264"/>
      <c r="F141" s="263"/>
      <c r="G141" s="264"/>
      <c r="H141" s="263">
        <v>164.09</v>
      </c>
      <c r="I141" s="264">
        <v>239</v>
      </c>
      <c r="J141" s="262"/>
      <c r="K141" s="260"/>
      <c r="L141" s="262"/>
      <c r="M141" s="265"/>
      <c r="N141" s="265"/>
    </row>
    <row r="142" spans="1:14" s="199" customFormat="1" ht="26.25" x14ac:dyDescent="0.25">
      <c r="A142" s="280" t="s">
        <v>433</v>
      </c>
      <c r="B142" s="281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371" customFormat="1" ht="26.25" x14ac:dyDescent="0.25">
      <c r="A143" s="365" t="s">
        <v>107</v>
      </c>
      <c r="B143" s="366">
        <v>67</v>
      </c>
      <c r="C143" s="367" t="s">
        <v>616</v>
      </c>
      <c r="D143" s="368" t="s">
        <v>654</v>
      </c>
      <c r="E143" s="369"/>
      <c r="F143" s="368"/>
      <c r="G143" s="369"/>
      <c r="H143" s="368">
        <v>57.5</v>
      </c>
      <c r="I143" s="369">
        <v>0</v>
      </c>
      <c r="J143" s="367"/>
      <c r="K143" s="365"/>
      <c r="L143" s="367"/>
      <c r="M143" s="370"/>
      <c r="N143" s="370"/>
    </row>
    <row r="144" spans="1:14" s="149" customFormat="1" x14ac:dyDescent="0.25">
      <c r="A144" s="260" t="s">
        <v>109</v>
      </c>
      <c r="B144" s="261">
        <v>95</v>
      </c>
      <c r="C144" s="262" t="s">
        <v>616</v>
      </c>
      <c r="D144" s="263"/>
      <c r="E144" s="264"/>
      <c r="F144" s="263"/>
      <c r="G144" s="264"/>
      <c r="H144" s="263">
        <v>60</v>
      </c>
      <c r="I144" s="264">
        <v>30</v>
      </c>
      <c r="J144" s="262"/>
      <c r="K144" s="260"/>
      <c r="L144" s="262"/>
      <c r="M144" s="265"/>
      <c r="N144" s="265"/>
    </row>
    <row r="145" spans="1:14" s="199" customFormat="1" x14ac:dyDescent="0.25">
      <c r="A145" s="247" t="s">
        <v>432</v>
      </c>
      <c r="B145" s="248"/>
      <c r="C145" s="249"/>
      <c r="D145" s="250"/>
      <c r="E145" s="251"/>
      <c r="F145" s="250"/>
      <c r="G145" s="251"/>
      <c r="H145" s="250"/>
      <c r="I145" s="251"/>
      <c r="J145" s="249"/>
      <c r="K145" s="252"/>
      <c r="L145" s="249"/>
      <c r="M145" s="253"/>
      <c r="N145" s="253"/>
    </row>
    <row r="146" spans="1:14" s="149" customFormat="1" ht="26.25" x14ac:dyDescent="0.25">
      <c r="A146" s="260" t="s">
        <v>156</v>
      </c>
      <c r="B146" s="291">
        <v>61</v>
      </c>
      <c r="C146" s="266">
        <v>42594</v>
      </c>
      <c r="D146" s="263"/>
      <c r="E146" s="264"/>
      <c r="F146" s="263"/>
      <c r="G146" s="264"/>
      <c r="H146" s="263">
        <v>30.15</v>
      </c>
      <c r="I146" s="264">
        <v>30</v>
      </c>
      <c r="J146" s="262"/>
      <c r="K146" s="260"/>
      <c r="L146" s="262"/>
      <c r="M146" s="265"/>
      <c r="N146" s="265"/>
    </row>
    <row r="147" spans="1:14" s="199" customFormat="1" ht="26.25" x14ac:dyDescent="0.25">
      <c r="A147" s="280" t="s">
        <v>431</v>
      </c>
      <c r="B147" s="281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39" x14ac:dyDescent="0.25">
      <c r="A148" s="260" t="s">
        <v>40</v>
      </c>
      <c r="B148" s="261">
        <v>95</v>
      </c>
      <c r="C148" s="266" t="s">
        <v>644</v>
      </c>
      <c r="D148" s="263"/>
      <c r="E148" s="264"/>
      <c r="F148" s="263"/>
      <c r="G148" s="264"/>
      <c r="H148" s="263">
        <v>16</v>
      </c>
      <c r="I148" s="264">
        <v>1000</v>
      </c>
      <c r="J148" s="262"/>
      <c r="K148" s="260"/>
      <c r="L148" s="262"/>
      <c r="M148" s="265"/>
      <c r="N148" s="265"/>
    </row>
    <row r="149" spans="1:14" s="199" customFormat="1" ht="39" x14ac:dyDescent="0.25">
      <c r="A149" s="280" t="s">
        <v>430</v>
      </c>
      <c r="B149" s="302"/>
      <c r="C149" s="303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84" customFormat="1" ht="26.25" x14ac:dyDescent="0.25">
      <c r="A150" s="267" t="s">
        <v>355</v>
      </c>
      <c r="B150" s="268" t="s">
        <v>356</v>
      </c>
      <c r="C150" s="289" t="s">
        <v>581</v>
      </c>
      <c r="D150" s="269"/>
      <c r="E150" s="270"/>
      <c r="F150" s="269"/>
      <c r="G150" s="270"/>
      <c r="H150" s="269">
        <v>127.54</v>
      </c>
      <c r="I150" s="270">
        <v>241080</v>
      </c>
      <c r="J150" s="245"/>
      <c r="K150" s="267"/>
      <c r="L150" s="245"/>
      <c r="M150" s="246"/>
      <c r="N150" s="246"/>
    </row>
    <row r="151" spans="1:14" s="184" customFormat="1" x14ac:dyDescent="0.25">
      <c r="A151" s="245"/>
      <c r="B151" s="245"/>
      <c r="C151" s="245"/>
      <c r="D151" s="292">
        <f t="shared" ref="D151:I151" si="0">SUM(D2:D148)</f>
        <v>30104.789999999997</v>
      </c>
      <c r="E151" s="270">
        <f t="shared" si="0"/>
        <v>311275.88</v>
      </c>
      <c r="F151" s="292">
        <f t="shared" si="0"/>
        <v>1793.3200000000002</v>
      </c>
      <c r="G151" s="270">
        <f t="shared" si="0"/>
        <v>1735</v>
      </c>
      <c r="H151" s="292">
        <f t="shared" si="0"/>
        <v>7453.5199999999986</v>
      </c>
      <c r="I151" s="270">
        <f t="shared" si="0"/>
        <v>9001</v>
      </c>
      <c r="J151" s="292"/>
      <c r="K151" s="245"/>
      <c r="L151" s="245"/>
      <c r="M151" s="246"/>
      <c r="N151" s="246"/>
    </row>
    <row r="152" spans="1:14" s="150" customFormat="1" x14ac:dyDescent="0.25">
      <c r="A152" s="293"/>
      <c r="B152" s="293"/>
      <c r="C152" s="293"/>
      <c r="D152" s="293"/>
      <c r="E152" s="294"/>
      <c r="F152" s="293"/>
      <c r="G152" s="294"/>
      <c r="H152" s="293"/>
      <c r="I152" s="294"/>
      <c r="J152" s="293"/>
      <c r="K152" s="293"/>
      <c r="L152" s="293"/>
      <c r="M152" s="295"/>
      <c r="N152" s="295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</sheetData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20"/>
  <sheetViews>
    <sheetView workbookViewId="0">
      <selection activeCell="D7" sqref="D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638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60"/>
      <c r="B4" s="361"/>
      <c r="C4" s="361"/>
      <c r="D4" s="361"/>
      <c r="E4" s="361"/>
      <c r="F4" s="361"/>
      <c r="G4" s="36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240361.42</v>
      </c>
      <c r="D13" s="34"/>
      <c r="E13" s="35" t="s">
        <v>33</v>
      </c>
      <c r="F13" s="34"/>
      <c r="G13" s="42">
        <v>22706.06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7184</v>
      </c>
      <c r="D15" s="34"/>
      <c r="E15" s="35" t="s">
        <v>10</v>
      </c>
      <c r="F15" s="34"/>
      <c r="G15" s="42">
        <v>1885.27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8126</v>
      </c>
      <c r="D17" s="34"/>
      <c r="E17" s="35" t="s">
        <v>278</v>
      </c>
      <c r="F17" s="34"/>
      <c r="G17" s="42">
        <v>5904.48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150"/>
  <sheetViews>
    <sheetView zoomScale="110" zoomScaleNormal="110" workbookViewId="0">
      <pane ySplit="2" topLeftCell="A57" activePane="bottomLeft" state="frozen"/>
      <selection pane="bottomLeft" activeCell="A89" sqref="A89:XFD90"/>
    </sheetView>
  </sheetViews>
  <sheetFormatPr defaultRowHeight="15" x14ac:dyDescent="0.25"/>
  <cols>
    <col min="1" max="1" width="22.7109375" style="293" customWidth="1"/>
    <col min="2" max="2" width="14" style="293" customWidth="1"/>
    <col min="3" max="3" width="23.5703125" style="293" bestFit="1" customWidth="1"/>
    <col min="4" max="4" width="11.5703125" style="293" bestFit="1" customWidth="1"/>
    <col min="5" max="5" width="11.140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612</v>
      </c>
      <c r="D3" s="257"/>
      <c r="E3" s="258"/>
      <c r="F3" s="257">
        <v>1121.33</v>
      </c>
      <c r="G3" s="258">
        <v>2196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x14ac:dyDescent="0.25">
      <c r="A4" s="260" t="s">
        <v>13</v>
      </c>
      <c r="B4" s="261">
        <v>3026210376</v>
      </c>
      <c r="C4" s="262" t="s">
        <v>613</v>
      </c>
      <c r="D4" s="263"/>
      <c r="E4" s="264"/>
      <c r="F4" s="263">
        <v>50.73</v>
      </c>
      <c r="G4" s="264">
        <v>13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611</v>
      </c>
      <c r="D6" s="257"/>
      <c r="E6" s="258"/>
      <c r="F6" s="257">
        <v>54.17</v>
      </c>
      <c r="G6" s="258">
        <v>20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614</v>
      </c>
      <c r="D7" s="263"/>
      <c r="E7" s="264"/>
      <c r="F7" s="263">
        <v>15.87</v>
      </c>
      <c r="G7" s="264">
        <v>41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609</v>
      </c>
      <c r="D8" s="263"/>
      <c r="E8" s="264"/>
      <c r="F8" s="263">
        <v>53.39</v>
      </c>
      <c r="G8" s="264">
        <v>3603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26.25" x14ac:dyDescent="0.25">
      <c r="A9" s="260" t="s">
        <v>42</v>
      </c>
      <c r="B9" s="261">
        <v>3029257704</v>
      </c>
      <c r="C9" s="262" t="s">
        <v>609</v>
      </c>
      <c r="D9" s="263"/>
      <c r="E9" s="264"/>
      <c r="F9" s="263">
        <v>55.6</v>
      </c>
      <c r="G9" s="264">
        <v>6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x14ac:dyDescent="0.25">
      <c r="A10" s="260" t="s">
        <v>44</v>
      </c>
      <c r="B10" s="261">
        <v>3039640691</v>
      </c>
      <c r="C10" s="262" t="s">
        <v>613</v>
      </c>
      <c r="D10" s="263"/>
      <c r="E10" s="264"/>
      <c r="F10" s="263">
        <v>33.25</v>
      </c>
      <c r="G10" s="264">
        <v>15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613</v>
      </c>
      <c r="D11" s="263"/>
      <c r="E11" s="264"/>
      <c r="F11" s="263">
        <v>69.87</v>
      </c>
      <c r="G11" s="264">
        <v>52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609</v>
      </c>
      <c r="D12" s="263"/>
      <c r="E12" s="264"/>
      <c r="F12" s="263">
        <v>52.94</v>
      </c>
      <c r="G12" s="264">
        <v>1059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613</v>
      </c>
      <c r="D13" s="263"/>
      <c r="E13" s="264"/>
      <c r="F13" s="263">
        <v>44.37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613</v>
      </c>
      <c r="D14" s="263"/>
      <c r="E14" s="264"/>
      <c r="F14" s="263">
        <v>44.37</v>
      </c>
      <c r="G14" s="264">
        <v>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614</v>
      </c>
      <c r="D15" s="263"/>
      <c r="E15" s="264"/>
      <c r="F15" s="263">
        <v>52.7</v>
      </c>
      <c r="G15" s="264">
        <v>17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613</v>
      </c>
      <c r="D16" s="263"/>
      <c r="E16" s="264"/>
      <c r="F16" s="263">
        <v>114.98</v>
      </c>
      <c r="G16" s="264">
        <v>144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619</v>
      </c>
      <c r="D17" s="263"/>
      <c r="E17" s="264"/>
      <c r="F17" s="263">
        <v>32.619999999999997</v>
      </c>
      <c r="G17" s="264">
        <v>16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620</v>
      </c>
      <c r="D18" s="263"/>
      <c r="E18" s="264"/>
      <c r="F18" s="263">
        <v>45.673999999999999</v>
      </c>
      <c r="G18" s="264">
        <v>2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603</v>
      </c>
      <c r="D20" s="263">
        <v>5478.53</v>
      </c>
      <c r="E20" s="264">
        <v>87700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603</v>
      </c>
      <c r="D21" s="263">
        <v>535.57000000000005</v>
      </c>
      <c r="E21" s="264">
        <v>2400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603</v>
      </c>
      <c r="D22" s="263">
        <v>40.17</v>
      </c>
      <c r="E22" s="264">
        <v>330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603</v>
      </c>
      <c r="D23" s="263">
        <v>30.86</v>
      </c>
      <c r="E23" s="264">
        <v>210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603</v>
      </c>
      <c r="D24" s="263">
        <v>116.68</v>
      </c>
      <c r="E24" s="264">
        <v>1318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603</v>
      </c>
      <c r="D25" s="263">
        <v>121.03</v>
      </c>
      <c r="E25" s="264">
        <v>1387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603</v>
      </c>
      <c r="D26" s="263">
        <v>377.43</v>
      </c>
      <c r="E26" s="264">
        <v>4020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604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604</v>
      </c>
      <c r="D28" s="263">
        <v>111.82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604</v>
      </c>
      <c r="D29" s="263">
        <v>23.27</v>
      </c>
      <c r="E29" s="264">
        <v>112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604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605</v>
      </c>
      <c r="D31" s="263">
        <v>201.69</v>
      </c>
      <c r="E31" s="264">
        <v>1217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605</v>
      </c>
      <c r="D32" s="263">
        <v>22.07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605</v>
      </c>
      <c r="D33" s="263">
        <v>203.32</v>
      </c>
      <c r="E33" s="264">
        <v>1172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605</v>
      </c>
      <c r="D34" s="263">
        <v>81.5</v>
      </c>
      <c r="E34" s="264">
        <v>885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605</v>
      </c>
      <c r="D35" s="263">
        <v>32.46</v>
      </c>
      <c r="E35" s="264">
        <v>239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605</v>
      </c>
      <c r="D36" s="263">
        <v>624.21</v>
      </c>
      <c r="E36" s="264">
        <v>7200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605</v>
      </c>
      <c r="D37" s="263">
        <v>49.53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605</v>
      </c>
      <c r="D38" s="263">
        <v>22.51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59" customFormat="1" ht="26.25" x14ac:dyDescent="0.25">
      <c r="A39" s="353" t="s">
        <v>254</v>
      </c>
      <c r="B39" s="354">
        <v>4955887</v>
      </c>
      <c r="C39" s="355" t="s">
        <v>541</v>
      </c>
      <c r="D39" s="356">
        <v>0</v>
      </c>
      <c r="E39" s="357">
        <v>0</v>
      </c>
      <c r="F39" s="356"/>
      <c r="G39" s="357"/>
      <c r="H39" s="356"/>
      <c r="I39" s="357"/>
      <c r="J39" s="355" t="s">
        <v>33</v>
      </c>
      <c r="K39" s="353"/>
      <c r="L39" s="355"/>
      <c r="M39" s="358" t="s">
        <v>447</v>
      </c>
      <c r="N39" s="358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606</v>
      </c>
      <c r="D40" s="263">
        <v>294.7</v>
      </c>
      <c r="E40" s="264">
        <v>2897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607</v>
      </c>
      <c r="D41" s="263">
        <v>22.51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607</v>
      </c>
      <c r="D42" s="263">
        <v>16.02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607</v>
      </c>
      <c r="D43" s="263">
        <v>1178.93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x14ac:dyDescent="0.25">
      <c r="A44" s="260" t="s">
        <v>22</v>
      </c>
      <c r="B44" s="261">
        <v>5264554</v>
      </c>
      <c r="C44" s="262" t="s">
        <v>607</v>
      </c>
      <c r="D44" s="263">
        <v>25.59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607</v>
      </c>
      <c r="D45" s="263">
        <v>299.08999999999997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607</v>
      </c>
      <c r="D46" s="263">
        <v>362.73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646</v>
      </c>
      <c r="D47" s="263">
        <v>1275.5999999999999</v>
      </c>
      <c r="E47" s="264">
        <v>15680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607</v>
      </c>
      <c r="D48" s="263">
        <v>493.54</v>
      </c>
      <c r="E48" s="264">
        <v>3549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607</v>
      </c>
      <c r="D49" s="263">
        <v>245.21</v>
      </c>
      <c r="E49" s="264">
        <v>3044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607</v>
      </c>
      <c r="D50" s="263">
        <v>16.02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607</v>
      </c>
      <c r="D51" s="263">
        <v>649.35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607</v>
      </c>
      <c r="D52" s="263">
        <v>22.51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607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62" t="s">
        <v>607</v>
      </c>
      <c r="D54" s="257">
        <v>1320.8</v>
      </c>
      <c r="E54" s="258">
        <v>15480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607</v>
      </c>
      <c r="D55" s="263">
        <v>18.760000000000002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607</v>
      </c>
      <c r="D56" s="263">
        <v>1064.92</v>
      </c>
      <c r="E56" s="264">
        <v>19620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607</v>
      </c>
      <c r="D57" s="263">
        <v>135.4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26.25" x14ac:dyDescent="0.25">
      <c r="A58" s="260" t="s">
        <v>153</v>
      </c>
      <c r="B58" s="261">
        <v>8327232</v>
      </c>
      <c r="C58" s="262" t="s">
        <v>606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59" customFormat="1" ht="26.25" x14ac:dyDescent="0.25">
      <c r="A59" s="353" t="s">
        <v>255</v>
      </c>
      <c r="B59" s="354">
        <v>6973803</v>
      </c>
      <c r="C59" s="355" t="s">
        <v>561</v>
      </c>
      <c r="D59" s="356">
        <v>0</v>
      </c>
      <c r="E59" s="357">
        <v>0</v>
      </c>
      <c r="F59" s="356"/>
      <c r="G59" s="357"/>
      <c r="H59" s="356"/>
      <c r="I59" s="357"/>
      <c r="J59" s="355" t="s">
        <v>33</v>
      </c>
      <c r="K59" s="353"/>
      <c r="L59" s="355"/>
      <c r="M59" s="358" t="s">
        <v>447</v>
      </c>
      <c r="N59" s="358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606</v>
      </c>
      <c r="D60" s="263">
        <v>900.36</v>
      </c>
      <c r="E60" s="264">
        <v>11232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59" customFormat="1" x14ac:dyDescent="0.25">
      <c r="A61" s="353" t="s">
        <v>253</v>
      </c>
      <c r="B61" s="354">
        <v>4934809</v>
      </c>
      <c r="C61" s="355" t="s">
        <v>561</v>
      </c>
      <c r="D61" s="356">
        <v>0</v>
      </c>
      <c r="E61" s="357">
        <v>0</v>
      </c>
      <c r="F61" s="356"/>
      <c r="G61" s="357"/>
      <c r="H61" s="356"/>
      <c r="I61" s="357"/>
      <c r="J61" s="355" t="s">
        <v>33</v>
      </c>
      <c r="K61" s="353"/>
      <c r="L61" s="355"/>
      <c r="M61" s="358" t="s">
        <v>447</v>
      </c>
      <c r="N61" s="358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606</v>
      </c>
      <c r="D62" s="263">
        <v>195.73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606</v>
      </c>
      <c r="D63" s="263">
        <v>27.16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605</v>
      </c>
      <c r="D64" s="263">
        <v>263.04000000000002</v>
      </c>
      <c r="E64" s="264">
        <v>25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603</v>
      </c>
      <c r="D65" s="263">
        <v>54.48</v>
      </c>
      <c r="E65" s="264">
        <v>507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603</v>
      </c>
      <c r="D66" s="263">
        <v>65.75</v>
      </c>
      <c r="E66" s="264">
        <v>661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603</v>
      </c>
      <c r="D67" s="263">
        <v>59.12</v>
      </c>
      <c r="E67" s="264">
        <v>575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603</v>
      </c>
      <c r="D68" s="263">
        <v>22.5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604</v>
      </c>
      <c r="D69" s="263">
        <v>21.58</v>
      </c>
      <c r="E69" s="264">
        <v>90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604</v>
      </c>
      <c r="D70" s="263">
        <v>31.47</v>
      </c>
      <c r="E70" s="264">
        <v>218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616</v>
      </c>
      <c r="D72" s="263">
        <v>344</v>
      </c>
      <c r="E72" s="264">
        <v>3863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616</v>
      </c>
      <c r="D73" s="263">
        <v>176</v>
      </c>
      <c r="E73" s="264">
        <v>1545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616</v>
      </c>
      <c r="D74" s="263">
        <v>80</v>
      </c>
      <c r="E74" s="264">
        <v>364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616</v>
      </c>
      <c r="D75" s="263">
        <v>38</v>
      </c>
      <c r="E75" s="264">
        <v>91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616</v>
      </c>
      <c r="D76" s="263">
        <v>35</v>
      </c>
      <c r="E76" s="264">
        <v>50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616</v>
      </c>
      <c r="D77" s="263">
        <v>210</v>
      </c>
      <c r="E77" s="264">
        <v>1961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616</v>
      </c>
      <c r="D78" s="263">
        <v>106</v>
      </c>
      <c r="E78" s="264">
        <v>1039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616</v>
      </c>
      <c r="D79" s="263">
        <v>51</v>
      </c>
      <c r="E79" s="264">
        <v>250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616</v>
      </c>
      <c r="D80" s="263">
        <v>58</v>
      </c>
      <c r="E80" s="264">
        <v>97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616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616</v>
      </c>
      <c r="D82" s="263">
        <v>38</v>
      </c>
      <c r="E82" s="264">
        <v>93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615</v>
      </c>
      <c r="D83" s="257">
        <v>111</v>
      </c>
      <c r="E83" s="258">
        <v>815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616</v>
      </c>
      <c r="D84" s="263">
        <v>1524</v>
      </c>
      <c r="E84" s="264">
        <v>12960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616</v>
      </c>
      <c r="D85" s="263">
        <v>44</v>
      </c>
      <c r="E85" s="264">
        <v>79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616</v>
      </c>
      <c r="D86" s="263">
        <v>56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616</v>
      </c>
      <c r="D87" s="263">
        <v>31</v>
      </c>
      <c r="E87" s="264">
        <v>3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615</v>
      </c>
      <c r="D88" s="263">
        <v>56</v>
      </c>
      <c r="E88" s="264">
        <v>229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616</v>
      </c>
      <c r="D89" s="263">
        <v>714</v>
      </c>
      <c r="E89" s="264">
        <v>8100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616</v>
      </c>
      <c r="D90" s="263">
        <v>1109</v>
      </c>
      <c r="E90" s="264">
        <v>3420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615</v>
      </c>
      <c r="D91" s="349">
        <v>252</v>
      </c>
      <c r="E91" s="350">
        <v>34.42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ht="26.25" x14ac:dyDescent="0.25">
      <c r="A92" s="260" t="s">
        <v>110</v>
      </c>
      <c r="B92" s="261" t="s">
        <v>207</v>
      </c>
      <c r="C92" s="262" t="s">
        <v>615</v>
      </c>
      <c r="D92" s="263">
        <v>150</v>
      </c>
      <c r="E92" s="264">
        <v>742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616</v>
      </c>
      <c r="D93" s="263">
        <v>50</v>
      </c>
      <c r="E93" s="264">
        <v>98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616</v>
      </c>
      <c r="D94" s="263">
        <v>112</v>
      </c>
      <c r="E94" s="264">
        <v>803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616</v>
      </c>
      <c r="D95" s="263">
        <v>92</v>
      </c>
      <c r="E95" s="264">
        <v>753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>
        <v>0</v>
      </c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616</v>
      </c>
      <c r="D97" s="263"/>
      <c r="E97" s="264"/>
      <c r="F97" s="263"/>
      <c r="G97" s="264"/>
      <c r="H97" s="263">
        <v>294.11</v>
      </c>
      <c r="I97" s="264">
        <v>422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616</v>
      </c>
      <c r="D98" s="263"/>
      <c r="E98" s="264"/>
      <c r="F98" s="263"/>
      <c r="G98" s="264"/>
      <c r="H98" s="263">
        <v>154.36000000000001</v>
      </c>
      <c r="I98" s="264">
        <v>224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616</v>
      </c>
      <c r="D99" s="263"/>
      <c r="E99" s="264"/>
      <c r="F99" s="263"/>
      <c r="G99" s="264"/>
      <c r="H99" s="263">
        <v>54.12</v>
      </c>
      <c r="I99" s="264">
        <v>63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615</v>
      </c>
      <c r="D100" s="263"/>
      <c r="E100" s="264"/>
      <c r="F100" s="263"/>
      <c r="G100" s="264"/>
      <c r="H100" s="263">
        <v>68.010000000000005</v>
      </c>
      <c r="I100" s="264">
        <v>89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616</v>
      </c>
      <c r="D101" s="263"/>
      <c r="E101" s="264"/>
      <c r="F101" s="263"/>
      <c r="G101" s="264"/>
      <c r="H101" s="263">
        <v>57.86</v>
      </c>
      <c r="I101" s="264">
        <v>70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616</v>
      </c>
      <c r="D102" s="263"/>
      <c r="E102" s="264"/>
      <c r="F102" s="263"/>
      <c r="G102" s="264"/>
      <c r="H102" s="263">
        <v>31.16</v>
      </c>
      <c r="I102" s="264">
        <v>13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616</v>
      </c>
      <c r="D103" s="263"/>
      <c r="E103" s="264"/>
      <c r="F103" s="263"/>
      <c r="G103" s="264"/>
      <c r="H103" s="263">
        <v>95.95</v>
      </c>
      <c r="I103" s="264">
        <v>134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616</v>
      </c>
      <c r="D104" s="263"/>
      <c r="E104" s="264"/>
      <c r="F104" s="263"/>
      <c r="G104" s="264"/>
      <c r="H104" s="263">
        <v>31.16</v>
      </c>
      <c r="I104" s="264">
        <v>3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616</v>
      </c>
      <c r="D105" s="263"/>
      <c r="E105" s="264"/>
      <c r="F105" s="263"/>
      <c r="G105" s="264"/>
      <c r="H105" s="263">
        <v>238.4</v>
      </c>
      <c r="I105" s="264">
        <v>345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624</v>
      </c>
      <c r="D106" s="263"/>
      <c r="E106" s="264"/>
      <c r="F106" s="263"/>
      <c r="G106" s="264"/>
      <c r="H106" s="263">
        <v>46.11</v>
      </c>
      <c r="I106" s="264">
        <v>48</v>
      </c>
      <c r="J106" s="262"/>
      <c r="K106" s="260"/>
      <c r="L106" s="262"/>
      <c r="M106" s="265"/>
      <c r="N106" s="265"/>
    </row>
    <row r="107" spans="1:14" s="149" customFormat="1" x14ac:dyDescent="0.25">
      <c r="A107" s="260" t="s">
        <v>79</v>
      </c>
      <c r="B107" s="261" t="s">
        <v>167</v>
      </c>
      <c r="C107" s="266" t="s">
        <v>616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616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616</v>
      </c>
      <c r="D109" s="263"/>
      <c r="E109" s="264"/>
      <c r="F109" s="263"/>
      <c r="G109" s="264"/>
      <c r="H109" s="263">
        <v>31.16</v>
      </c>
      <c r="I109" s="264">
        <v>18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616</v>
      </c>
      <c r="D110" s="263"/>
      <c r="E110" s="264"/>
      <c r="F110" s="263"/>
      <c r="G110" s="264"/>
      <c r="H110" s="263">
        <v>59.46</v>
      </c>
      <c r="I110" s="264">
        <v>73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616</v>
      </c>
      <c r="D111" s="263"/>
      <c r="E111" s="264"/>
      <c r="F111" s="263"/>
      <c r="G111" s="264"/>
      <c r="H111" s="263">
        <v>31.16</v>
      </c>
      <c r="I111" s="264">
        <v>7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616</v>
      </c>
      <c r="D112" s="263"/>
      <c r="E112" s="264"/>
      <c r="F112" s="263"/>
      <c r="G112" s="264"/>
      <c r="H112" s="263">
        <v>31.16</v>
      </c>
      <c r="I112" s="264">
        <v>10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616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616</v>
      </c>
      <c r="D114" s="263"/>
      <c r="E114" s="264"/>
      <c r="F114" s="263"/>
      <c r="G114" s="264"/>
      <c r="H114" s="263">
        <v>31.16</v>
      </c>
      <c r="I114" s="264">
        <v>1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616</v>
      </c>
      <c r="D115" s="263"/>
      <c r="E115" s="264"/>
      <c r="F115" s="263"/>
      <c r="G115" s="264"/>
      <c r="H115" s="263">
        <v>31.16</v>
      </c>
      <c r="I115" s="264">
        <v>3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616</v>
      </c>
      <c r="D116" s="263"/>
      <c r="E116" s="264"/>
      <c r="F116" s="263"/>
      <c r="G116" s="264"/>
      <c r="H116" s="263">
        <v>699.56</v>
      </c>
      <c r="I116" s="264">
        <v>952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616</v>
      </c>
      <c r="D117" s="263"/>
      <c r="E117" s="264"/>
      <c r="F117" s="263"/>
      <c r="G117" s="264"/>
      <c r="H117" s="263">
        <v>333.13</v>
      </c>
      <c r="I117" s="264">
        <v>473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616</v>
      </c>
      <c r="D118" s="263"/>
      <c r="E118" s="264"/>
      <c r="F118" s="263"/>
      <c r="G118" s="264"/>
      <c r="H118" s="263">
        <v>47.18</v>
      </c>
      <c r="I118" s="264">
        <v>50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616</v>
      </c>
      <c r="D119" s="263"/>
      <c r="E119" s="264"/>
      <c r="F119" s="263"/>
      <c r="G119" s="264"/>
      <c r="H119" s="263">
        <v>33.299999999999997</v>
      </c>
      <c r="I119" s="264">
        <v>24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616</v>
      </c>
      <c r="D120" s="263"/>
      <c r="E120" s="264"/>
      <c r="F120" s="263"/>
      <c r="G120" s="264"/>
      <c r="H120" s="263">
        <v>31.16</v>
      </c>
      <c r="I120" s="264">
        <v>17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616</v>
      </c>
      <c r="D121" s="263"/>
      <c r="E121" s="264"/>
      <c r="F121" s="263"/>
      <c r="G121" s="264"/>
      <c r="H121" s="263">
        <v>31.16</v>
      </c>
      <c r="I121" s="264">
        <v>1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616</v>
      </c>
      <c r="D122" s="263"/>
      <c r="E122" s="264"/>
      <c r="F122" s="263"/>
      <c r="G122" s="264"/>
      <c r="H122" s="263">
        <v>46.48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616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616</v>
      </c>
      <c r="D124" s="263"/>
      <c r="E124" s="264"/>
      <c r="F124" s="263"/>
      <c r="G124" s="264"/>
      <c r="H124" s="263">
        <v>46.74</v>
      </c>
      <c r="I124" s="264">
        <v>2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616</v>
      </c>
      <c r="D125" s="263"/>
      <c r="E125" s="264"/>
      <c r="F125" s="263"/>
      <c r="G125" s="264"/>
      <c r="H125" s="263">
        <v>40.770000000000003</v>
      </c>
      <c r="I125" s="264">
        <v>38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616</v>
      </c>
      <c r="D126" s="263"/>
      <c r="E126" s="264"/>
      <c r="F126" s="263"/>
      <c r="G126" s="264"/>
      <c r="H126" s="263">
        <v>31.16</v>
      </c>
      <c r="I126" s="264">
        <v>18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615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628</v>
      </c>
      <c r="D128" s="263"/>
      <c r="E128" s="264"/>
      <c r="F128" s="263"/>
      <c r="G128" s="264"/>
      <c r="H128" s="263">
        <v>49.32</v>
      </c>
      <c r="I128" s="264">
        <v>54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616</v>
      </c>
      <c r="D129" s="263"/>
      <c r="E129" s="264"/>
      <c r="F129" s="263"/>
      <c r="G129" s="264"/>
      <c r="H129" s="263">
        <v>114.77</v>
      </c>
      <c r="I129" s="264">
        <v>163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628</v>
      </c>
      <c r="D130" s="263"/>
      <c r="E130" s="264"/>
      <c r="F130" s="263"/>
      <c r="G130" s="264"/>
      <c r="H130" s="263">
        <v>596.29</v>
      </c>
      <c r="I130" s="264">
        <v>817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628</v>
      </c>
      <c r="D131" s="263"/>
      <c r="E131" s="264"/>
      <c r="F131" s="263"/>
      <c r="G131" s="264"/>
      <c r="H131" s="263">
        <v>48.25</v>
      </c>
      <c r="I131" s="264">
        <v>52</v>
      </c>
      <c r="J131" s="262"/>
      <c r="K131" s="260"/>
      <c r="L131" s="262"/>
      <c r="M131" s="265"/>
      <c r="N131" s="265"/>
    </row>
    <row r="132" spans="1:14" s="149" customFormat="1" x14ac:dyDescent="0.25">
      <c r="A132" s="260" t="s">
        <v>543</v>
      </c>
      <c r="B132" s="261" t="s">
        <v>135</v>
      </c>
      <c r="C132" s="262" t="s">
        <v>628</v>
      </c>
      <c r="D132" s="263"/>
      <c r="E132" s="264"/>
      <c r="F132" s="263"/>
      <c r="G132" s="264"/>
      <c r="H132" s="263">
        <v>1280.2</v>
      </c>
      <c r="I132" s="264">
        <v>1711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628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628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628</v>
      </c>
      <c r="D135" s="263"/>
      <c r="E135" s="264"/>
      <c r="F135" s="263"/>
      <c r="G135" s="264"/>
      <c r="H135" s="263">
        <v>31.16</v>
      </c>
      <c r="I135" s="264">
        <v>15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628</v>
      </c>
      <c r="D136" s="263"/>
      <c r="E136" s="264"/>
      <c r="F136" s="263"/>
      <c r="G136" s="264"/>
      <c r="H136" s="263">
        <v>356.84</v>
      </c>
      <c r="I136" s="264">
        <v>504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628</v>
      </c>
      <c r="D137" s="263"/>
      <c r="E137" s="264"/>
      <c r="F137" s="263"/>
      <c r="G137" s="264"/>
      <c r="H137" s="263">
        <v>258.89999999999998</v>
      </c>
      <c r="I137" s="264">
        <v>374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628</v>
      </c>
      <c r="D138" s="263"/>
      <c r="E138" s="264"/>
      <c r="F138" s="263"/>
      <c r="G138" s="264"/>
      <c r="H138" s="263">
        <v>167.34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49" customFormat="1" ht="26.25" x14ac:dyDescent="0.25">
      <c r="A140" s="260" t="s">
        <v>107</v>
      </c>
      <c r="B140" s="261">
        <v>67</v>
      </c>
      <c r="C140" s="262" t="s">
        <v>616</v>
      </c>
      <c r="D140" s="263"/>
      <c r="E140" s="264"/>
      <c r="F140" s="263"/>
      <c r="G140" s="264"/>
      <c r="H140" s="263">
        <v>50</v>
      </c>
      <c r="I140" s="264">
        <v>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109</v>
      </c>
      <c r="B141" s="261">
        <v>95</v>
      </c>
      <c r="C141" s="262" t="s">
        <v>599</v>
      </c>
      <c r="D141" s="263"/>
      <c r="E141" s="264"/>
      <c r="F141" s="263"/>
      <c r="G141" s="264"/>
      <c r="H141" s="263">
        <v>60</v>
      </c>
      <c r="I141" s="264">
        <v>80</v>
      </c>
      <c r="J141" s="262"/>
      <c r="K141" s="260"/>
      <c r="L141" s="262"/>
      <c r="M141" s="265"/>
      <c r="N141" s="265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42499</v>
      </c>
      <c r="D143" s="269"/>
      <c r="E143" s="270"/>
      <c r="F143" s="269"/>
      <c r="G143" s="270"/>
      <c r="H143" s="269">
        <v>30.15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622</v>
      </c>
      <c r="D145" s="263"/>
      <c r="E145" s="264"/>
      <c r="F145" s="263"/>
      <c r="G145" s="264"/>
      <c r="H145" s="263">
        <v>16</v>
      </c>
      <c r="I145" s="264">
        <v>1000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355</v>
      </c>
      <c r="B147" s="261" t="s">
        <v>356</v>
      </c>
      <c r="C147" s="266" t="s">
        <v>625</v>
      </c>
      <c r="D147" s="263"/>
      <c r="E147" s="264"/>
      <c r="F147" s="263"/>
      <c r="G147" s="264"/>
      <c r="H147" s="263">
        <v>55.55</v>
      </c>
      <c r="I147" s="264">
        <v>97090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22706.06</v>
      </c>
      <c r="E148" s="270">
        <f t="shared" si="0"/>
        <v>240361.42</v>
      </c>
      <c r="F148" s="292">
        <f t="shared" si="0"/>
        <v>1885.2739999999997</v>
      </c>
      <c r="G148" s="270">
        <f t="shared" si="0"/>
        <v>7184</v>
      </c>
      <c r="H148" s="292">
        <f t="shared" si="0"/>
        <v>5904.48</v>
      </c>
      <c r="I148" s="270">
        <f t="shared" si="0"/>
        <v>8126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20"/>
  <sheetViews>
    <sheetView workbookViewId="0">
      <selection activeCell="C7" sqref="C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618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43"/>
      <c r="B4" s="344"/>
      <c r="C4" s="344"/>
      <c r="D4" s="344"/>
      <c r="E4" s="344"/>
      <c r="F4" s="344"/>
      <c r="G4" s="34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219191.22</v>
      </c>
      <c r="D13" s="34"/>
      <c r="E13" s="35" t="s">
        <v>33</v>
      </c>
      <c r="F13" s="34"/>
      <c r="G13" s="42">
        <v>21120.68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1368</v>
      </c>
      <c r="D15" s="34"/>
      <c r="E15" s="35" t="s">
        <v>10</v>
      </c>
      <c r="F15" s="34"/>
      <c r="G15" s="42">
        <v>1358.95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8366</v>
      </c>
      <c r="D17" s="34"/>
      <c r="E17" s="35" t="s">
        <v>278</v>
      </c>
      <c r="F17" s="34"/>
      <c r="G17" s="42">
        <v>6105.04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2124</v>
      </c>
      <c r="D3" s="328"/>
      <c r="E3" s="763"/>
      <c r="F3" s="620">
        <v>1550.63</v>
      </c>
      <c r="G3" s="763">
        <v>1759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2125</v>
      </c>
      <c r="D4" s="269"/>
      <c r="E4" s="757"/>
      <c r="F4" s="544">
        <v>745.22</v>
      </c>
      <c r="G4" s="757">
        <v>800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2122</v>
      </c>
      <c r="D5" s="328"/>
      <c r="E5" s="763"/>
      <c r="F5" s="620">
        <v>548.48</v>
      </c>
      <c r="G5" s="763">
        <v>575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2126</v>
      </c>
      <c r="D6" s="269"/>
      <c r="E6" s="757"/>
      <c r="F6" s="544">
        <v>351.28</v>
      </c>
      <c r="G6" s="757">
        <v>334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2123</v>
      </c>
      <c r="D7" s="269"/>
      <c r="E7" s="757"/>
      <c r="F7" s="544">
        <v>240.97</v>
      </c>
      <c r="G7" s="757">
        <v>210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2125</v>
      </c>
      <c r="D8" s="269"/>
      <c r="E8" s="757"/>
      <c r="F8" s="544">
        <v>972.08</v>
      </c>
      <c r="G8" s="757">
        <v>1068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2125</v>
      </c>
      <c r="D9" s="269"/>
      <c r="E9" s="757"/>
      <c r="F9" s="544">
        <v>553.05999999999995</v>
      </c>
      <c r="G9" s="757">
        <v>573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2125</v>
      </c>
      <c r="D10" s="269"/>
      <c r="E10" s="757"/>
      <c r="F10" s="544">
        <v>80.95</v>
      </c>
      <c r="G10" s="757">
        <v>8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2123</v>
      </c>
      <c r="D11" s="269"/>
      <c r="E11" s="757"/>
      <c r="F11" s="544">
        <v>126.64</v>
      </c>
      <c r="G11" s="757">
        <v>57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2125</v>
      </c>
      <c r="D12" s="269"/>
      <c r="E12" s="757"/>
      <c r="F12" s="544">
        <v>121.34</v>
      </c>
      <c r="G12" s="757">
        <v>63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2125</v>
      </c>
      <c r="D13" s="269"/>
      <c r="E13" s="757"/>
      <c r="F13" s="544">
        <v>1917.6</v>
      </c>
      <c r="G13" s="757">
        <v>2185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2126</v>
      </c>
      <c r="D14" s="269"/>
      <c r="E14" s="757"/>
      <c r="F14" s="544">
        <v>196.08</v>
      </c>
      <c r="G14" s="757">
        <v>151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2125</v>
      </c>
      <c r="D15" s="269"/>
      <c r="E15" s="757"/>
      <c r="F15" s="544">
        <v>889.12</v>
      </c>
      <c r="G15" s="757">
        <v>970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2129</v>
      </c>
      <c r="D16" s="269"/>
      <c r="E16" s="757"/>
      <c r="F16" s="544">
        <v>159.09</v>
      </c>
      <c r="G16" s="757">
        <v>113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2129</v>
      </c>
      <c r="D17" s="269"/>
      <c r="E17" s="757"/>
      <c r="F17" s="544">
        <v>131.86000000000001</v>
      </c>
      <c r="G17" s="757">
        <v>80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7">
        <v>221.85</v>
      </c>
      <c r="E19" s="546">
        <f>1809+12</f>
        <v>1821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7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7">
        <v>29.65</v>
      </c>
      <c r="E21" s="546">
        <v>286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7">
        <v>18.670000000000002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7">
        <v>71.099999999999994</v>
      </c>
      <c r="E23" s="546">
        <v>841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7">
        <v>399.93</v>
      </c>
      <c r="E24" s="546">
        <f>4720+16</f>
        <v>4736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7">
        <v>14.41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7">
        <v>102.4</v>
      </c>
      <c r="E26" s="546">
        <v>1258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7">
        <v>19.059999999999999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7">
        <v>15.43</v>
      </c>
      <c r="E28" s="546">
        <v>95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7">
        <v>211.16</v>
      </c>
      <c r="E29" s="546">
        <f>1444+12</f>
        <v>1456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7">
        <v>671.52</v>
      </c>
      <c r="E30" s="546">
        <f>8120+33</f>
        <v>8153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7">
        <v>19.04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7">
        <v>23.73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7">
        <v>322.95999999999998</v>
      </c>
      <c r="E33" s="546">
        <f>3228+15</f>
        <v>3243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7">
        <v>11.6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7">
        <v>10.85</v>
      </c>
      <c r="E35" s="546">
        <v>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7">
        <v>20.12</v>
      </c>
      <c r="E36" s="546">
        <v>158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7">
        <v>3235.36</v>
      </c>
      <c r="E37" s="546">
        <f>51400+103</f>
        <v>51503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7">
        <v>118.09</v>
      </c>
      <c r="E38" s="546">
        <v>1467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7">
        <v>67.11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7">
        <v>21.48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7">
        <v>16.399999999999999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7">
        <v>20.8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7">
        <v>1014.79</v>
      </c>
      <c r="E43" s="546">
        <f>11040+50</f>
        <v>11090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7">
        <v>11.6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7">
        <v>42.37</v>
      </c>
      <c r="E45" s="546">
        <v>449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7">
        <v>114.75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7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7">
        <v>102.98</v>
      </c>
      <c r="E48" s="546">
        <v>1294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7">
        <v>198.05</v>
      </c>
      <c r="E49" s="546">
        <f>1589+10</f>
        <v>1599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7">
        <v>8.32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7">
        <v>306.12</v>
      </c>
      <c r="E51" s="546">
        <f>3311+11</f>
        <v>3322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7">
        <v>101.61</v>
      </c>
      <c r="E52" s="546">
        <v>1306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7">
        <v>88.72</v>
      </c>
      <c r="E53" s="546">
        <v>270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7">
        <v>939.52</v>
      </c>
      <c r="E54" s="546">
        <f>12240+37</f>
        <v>12277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7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7">
        <v>41.53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7">
        <v>1243.06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7">
        <v>453.82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7">
        <v>23.12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7">
        <v>292.83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7">
        <v>207.05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7">
        <v>868.5</v>
      </c>
      <c r="E62" s="546">
        <v>4720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7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7">
        <v>242.36</v>
      </c>
      <c r="E64" s="546">
        <f>2948+6</f>
        <v>2954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7">
        <v>630.37</v>
      </c>
      <c r="E65" s="546">
        <f>8252+22</f>
        <v>8274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7">
        <v>149.44999999999999</v>
      </c>
      <c r="E66" s="546">
        <v>966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7">
        <v>244.65</v>
      </c>
      <c r="E67" s="546">
        <f>2162+13</f>
        <v>2175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2128</v>
      </c>
      <c r="D69" s="269">
        <v>321</v>
      </c>
      <c r="E69" s="757">
        <v>2254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143</v>
      </c>
      <c r="E70" s="757">
        <v>664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118</v>
      </c>
      <c r="E71" s="757">
        <v>461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61</v>
      </c>
      <c r="E72" s="757">
        <v>161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66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276</v>
      </c>
      <c r="E74" s="757">
        <v>1729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520</v>
      </c>
      <c r="E75" s="757">
        <v>3898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234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78</v>
      </c>
      <c r="E77" s="757">
        <v>139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99</v>
      </c>
      <c r="E79" s="757">
        <v>469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93</v>
      </c>
      <c r="E80" s="757">
        <v>262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2464</v>
      </c>
      <c r="E81" s="757">
        <v>17760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3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534</v>
      </c>
      <c r="E85" s="757">
        <v>3000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639</v>
      </c>
      <c r="E86" s="757">
        <v>4440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/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272</v>
      </c>
      <c r="E88" s="757">
        <v>1182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127</v>
      </c>
      <c r="E90" s="757">
        <v>335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180</v>
      </c>
      <c r="E91" s="757">
        <v>1119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232.29</v>
      </c>
      <c r="E92" s="757">
        <v>1382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1941</v>
      </c>
      <c r="E93" s="757">
        <v>14400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296</v>
      </c>
      <c r="E94" s="757">
        <v>1891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2128</v>
      </c>
      <c r="D96" s="269"/>
      <c r="E96" s="757"/>
      <c r="F96" s="544"/>
      <c r="G96" s="757"/>
      <c r="H96" s="269">
        <v>69.739999999999995</v>
      </c>
      <c r="I96" s="757">
        <v>77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2128</v>
      </c>
      <c r="D97" s="269"/>
      <c r="E97" s="757"/>
      <c r="F97" s="544"/>
      <c r="G97" s="757"/>
      <c r="H97" s="269">
        <v>177.42</v>
      </c>
      <c r="I97" s="757">
        <v>247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2128</v>
      </c>
      <c r="D98" s="269"/>
      <c r="E98" s="757"/>
      <c r="F98" s="544"/>
      <c r="G98" s="757"/>
      <c r="H98" s="269">
        <v>39.299999999999997</v>
      </c>
      <c r="I98" s="757">
        <v>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2128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2128</v>
      </c>
      <c r="D100" s="269"/>
      <c r="E100" s="757"/>
      <c r="F100" s="544"/>
      <c r="G100" s="757"/>
      <c r="H100" s="269">
        <v>39.299999999999997</v>
      </c>
      <c r="I100" s="757">
        <v>20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2128</v>
      </c>
      <c r="D101" s="269"/>
      <c r="E101" s="757"/>
      <c r="F101" s="544"/>
      <c r="G101" s="757"/>
      <c r="H101" s="269">
        <v>49.98</v>
      </c>
      <c r="I101" s="757">
        <v>40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2128</v>
      </c>
      <c r="D102" s="269"/>
      <c r="E102" s="757"/>
      <c r="F102" s="544"/>
      <c r="G102" s="757"/>
      <c r="H102" s="269">
        <v>59.59</v>
      </c>
      <c r="I102" s="757">
        <v>58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2128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2128</v>
      </c>
      <c r="D104" s="269"/>
      <c r="E104" s="757"/>
      <c r="F104" s="544"/>
      <c r="G104" s="757"/>
      <c r="H104" s="269">
        <v>39.299999999999997</v>
      </c>
      <c r="I104" s="757">
        <v>18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2128</v>
      </c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2128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2128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2128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2128</v>
      </c>
      <c r="D109" s="269"/>
      <c r="E109" s="757"/>
      <c r="F109" s="544"/>
      <c r="G109" s="757"/>
      <c r="H109" s="269">
        <v>39.299999999999997</v>
      </c>
      <c r="I109" s="757">
        <v>4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2128</v>
      </c>
      <c r="D110" s="269"/>
      <c r="E110" s="757"/>
      <c r="F110" s="544"/>
      <c r="G110" s="757"/>
      <c r="H110" s="269">
        <v>39.299999999999997</v>
      </c>
      <c r="I110" s="757">
        <v>5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2128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2128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2128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2128</v>
      </c>
      <c r="D114" s="269"/>
      <c r="E114" s="757"/>
      <c r="F114" s="544"/>
      <c r="G114" s="757"/>
      <c r="H114" s="269">
        <v>174.18</v>
      </c>
      <c r="I114" s="757">
        <v>242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2128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2128</v>
      </c>
      <c r="D116" s="269"/>
      <c r="E116" s="757"/>
      <c r="F116" s="544"/>
      <c r="G116" s="757"/>
      <c r="H116" s="269">
        <v>117.72</v>
      </c>
      <c r="I116" s="757">
        <v>155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2128</v>
      </c>
      <c r="D117" s="269"/>
      <c r="E117" s="757"/>
      <c r="F117" s="544"/>
      <c r="G117" s="757"/>
      <c r="H117" s="269">
        <v>39.299999999999997</v>
      </c>
      <c r="I117" s="757">
        <v>2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2128</v>
      </c>
      <c r="D118" s="269"/>
      <c r="E118" s="757"/>
      <c r="F118" s="544"/>
      <c r="G118" s="757"/>
      <c r="H118" s="269">
        <v>39.299999999999997</v>
      </c>
      <c r="I118" s="757">
        <v>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2128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2128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2128</v>
      </c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2128</v>
      </c>
      <c r="D122" s="269"/>
      <c r="E122" s="757"/>
      <c r="F122" s="544"/>
      <c r="G122" s="757"/>
      <c r="H122" s="269">
        <v>69.2</v>
      </c>
      <c r="I122" s="757">
        <v>76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2128</v>
      </c>
      <c r="D123" s="269"/>
      <c r="E123" s="757"/>
      <c r="F123" s="544"/>
      <c r="G123" s="757"/>
      <c r="H123" s="269">
        <v>90.57</v>
      </c>
      <c r="I123" s="757">
        <v>63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2128</v>
      </c>
      <c r="D124" s="269"/>
      <c r="E124" s="757"/>
      <c r="F124" s="544"/>
      <c r="G124" s="757"/>
      <c r="H124" s="269">
        <v>48.38</v>
      </c>
      <c r="I124" s="757">
        <v>37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2128</v>
      </c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2128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2121</v>
      </c>
      <c r="D127" s="269"/>
      <c r="E127" s="757"/>
      <c r="F127" s="544"/>
      <c r="G127" s="757"/>
      <c r="H127" s="269">
        <v>54.25</v>
      </c>
      <c r="I127" s="757">
        <v>48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2128</v>
      </c>
      <c r="D128" s="269"/>
      <c r="E128" s="757"/>
      <c r="F128" s="544"/>
      <c r="G128" s="757"/>
      <c r="H128" s="269">
        <v>136.54</v>
      </c>
      <c r="I128" s="757">
        <v>184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2121</v>
      </c>
      <c r="D129" s="269"/>
      <c r="E129" s="757"/>
      <c r="F129" s="544"/>
      <c r="G129" s="757"/>
      <c r="H129" s="269">
        <v>43.04</v>
      </c>
      <c r="I129" s="757">
        <v>27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2121</v>
      </c>
      <c r="D130" s="269"/>
      <c r="E130" s="757"/>
      <c r="F130" s="544"/>
      <c r="G130" s="757"/>
      <c r="H130" s="269">
        <v>39.299999999999997</v>
      </c>
      <c r="I130" s="757">
        <v>8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2121</v>
      </c>
      <c r="D131" s="269"/>
      <c r="E131" s="757"/>
      <c r="F131" s="544"/>
      <c r="G131" s="757"/>
      <c r="H131" s="269">
        <v>2291.25</v>
      </c>
      <c r="I131" s="757">
        <v>3022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2121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2121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2121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2121</v>
      </c>
      <c r="D135" s="269"/>
      <c r="E135" s="757"/>
      <c r="F135" s="544"/>
      <c r="G135" s="757"/>
      <c r="H135" s="269">
        <v>286.95</v>
      </c>
      <c r="I135" s="757">
        <v>402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2121</v>
      </c>
      <c r="D136" s="269"/>
      <c r="E136" s="757"/>
      <c r="F136" s="544"/>
      <c r="G136" s="757"/>
      <c r="H136" s="269">
        <v>233.81</v>
      </c>
      <c r="I136" s="757">
        <v>327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2121</v>
      </c>
      <c r="D137" s="269"/>
      <c r="E137" s="757"/>
      <c r="F137" s="544"/>
      <c r="G137" s="757"/>
      <c r="H137" s="269">
        <v>234.52</v>
      </c>
      <c r="I137" s="757">
        <v>328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2132</v>
      </c>
      <c r="D143" s="269"/>
      <c r="E143" s="757"/>
      <c r="F143" s="544"/>
      <c r="G143" s="757"/>
      <c r="H143" s="269">
        <v>35</v>
      </c>
      <c r="I143" s="757">
        <v>60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2131</v>
      </c>
      <c r="D145" s="269"/>
      <c r="E145" s="757"/>
      <c r="F145" s="544"/>
      <c r="G145" s="757"/>
      <c r="H145" s="269">
        <v>49.73</v>
      </c>
      <c r="I145" s="757">
        <v>77090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150"/>
  <sheetViews>
    <sheetView zoomScale="110" zoomScaleNormal="110" workbookViewId="0">
      <pane ySplit="2" topLeftCell="A42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592</v>
      </c>
      <c r="D3" s="257"/>
      <c r="E3" s="258"/>
      <c r="F3" s="257">
        <v>506.59</v>
      </c>
      <c r="G3" s="258">
        <v>958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594</v>
      </c>
      <c r="D4" s="263"/>
      <c r="E4" s="264"/>
      <c r="F4" s="263">
        <v>57.04</v>
      </c>
      <c r="G4" s="264">
        <v>30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593</v>
      </c>
      <c r="D6" s="257"/>
      <c r="E6" s="258"/>
      <c r="F6" s="257">
        <v>52.67</v>
      </c>
      <c r="G6" s="258">
        <v>21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597</v>
      </c>
      <c r="D7" s="263"/>
      <c r="E7" s="264"/>
      <c r="F7" s="263">
        <v>90.96</v>
      </c>
      <c r="G7" s="264">
        <v>100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592</v>
      </c>
      <c r="D8" s="263"/>
      <c r="E8" s="264"/>
      <c r="F8" s="263">
        <v>54.7</v>
      </c>
      <c r="G8" s="264">
        <v>4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592</v>
      </c>
      <c r="D9" s="263"/>
      <c r="E9" s="264"/>
      <c r="F9" s="263">
        <v>52.94</v>
      </c>
      <c r="G9" s="264">
        <v>0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595</v>
      </c>
      <c r="D10" s="263"/>
      <c r="E10" s="264"/>
      <c r="F10" s="263">
        <v>60.82</v>
      </c>
      <c r="G10" s="264">
        <v>38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595</v>
      </c>
      <c r="D11" s="263"/>
      <c r="E11" s="264"/>
      <c r="F11" s="263">
        <v>58.98</v>
      </c>
      <c r="G11" s="264">
        <v>34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592</v>
      </c>
      <c r="D12" s="263"/>
      <c r="E12" s="264"/>
      <c r="F12" s="263">
        <v>53.39</v>
      </c>
      <c r="G12" s="264">
        <v>1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594</v>
      </c>
      <c r="D13" s="263"/>
      <c r="E13" s="264"/>
      <c r="F13" s="263">
        <v>42.5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594</v>
      </c>
      <c r="D14" s="263"/>
      <c r="E14" s="264"/>
      <c r="F14" s="263">
        <v>56.56</v>
      </c>
      <c r="G14" s="264">
        <v>29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569</v>
      </c>
      <c r="D15" s="263"/>
      <c r="E15" s="264"/>
      <c r="F15" s="263">
        <v>48.77</v>
      </c>
      <c r="G15" s="264">
        <v>12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594</v>
      </c>
      <c r="D16" s="263"/>
      <c r="E16" s="264"/>
      <c r="F16" s="263">
        <v>97.73</v>
      </c>
      <c r="G16" s="264">
        <v>114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601</v>
      </c>
      <c r="D17" s="263"/>
      <c r="E17" s="264"/>
      <c r="F17" s="263">
        <v>37.520000000000003</v>
      </c>
      <c r="G17" s="264">
        <v>27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601</v>
      </c>
      <c r="D18" s="263"/>
      <c r="E18" s="264"/>
      <c r="F18" s="263">
        <v>44.37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603</v>
      </c>
      <c r="D20" s="263">
        <v>5478.53</v>
      </c>
      <c r="E20" s="264">
        <v>87700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603</v>
      </c>
      <c r="D21" s="263">
        <v>535.57000000000005</v>
      </c>
      <c r="E21" s="264">
        <v>2400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603</v>
      </c>
      <c r="D22" s="263">
        <v>40.17</v>
      </c>
      <c r="E22" s="264">
        <v>330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603</v>
      </c>
      <c r="D23" s="263">
        <v>30.86</v>
      </c>
      <c r="E23" s="264">
        <v>210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603</v>
      </c>
      <c r="D24" s="263">
        <v>116.68</v>
      </c>
      <c r="E24" s="264">
        <v>1318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603</v>
      </c>
      <c r="D25" s="263">
        <v>121.03</v>
      </c>
      <c r="E25" s="264">
        <v>1387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603</v>
      </c>
      <c r="D26" s="263">
        <v>377.43</v>
      </c>
      <c r="E26" s="264">
        <v>4020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604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604</v>
      </c>
      <c r="D28" s="263">
        <v>111.82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604</v>
      </c>
      <c r="D29" s="263">
        <v>23.27</v>
      </c>
      <c r="E29" s="264">
        <v>112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604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589</v>
      </c>
      <c r="D31" s="263">
        <v>182.25</v>
      </c>
      <c r="E31" s="264">
        <v>822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589</v>
      </c>
      <c r="D32" s="263">
        <v>22.13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589</v>
      </c>
      <c r="D33" s="263">
        <v>200</v>
      </c>
      <c r="E33" s="264">
        <v>944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589</v>
      </c>
      <c r="D34" s="263">
        <v>136.57</v>
      </c>
      <c r="E34" s="264">
        <v>1591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589</v>
      </c>
      <c r="D35" s="263">
        <v>26.92</v>
      </c>
      <c r="E35" s="264">
        <v>164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591</v>
      </c>
      <c r="D36" s="263">
        <v>622.13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589</v>
      </c>
      <c r="D37" s="263">
        <v>49.97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589</v>
      </c>
      <c r="D38" s="263">
        <v>22.57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584</v>
      </c>
      <c r="D40" s="263">
        <v>252.86</v>
      </c>
      <c r="E40" s="264">
        <v>2646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591</v>
      </c>
      <c r="D41" s="263">
        <v>22.57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591</v>
      </c>
      <c r="D42" s="263">
        <v>16.05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591</v>
      </c>
      <c r="D43" s="263">
        <v>1182.83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591</v>
      </c>
      <c r="D44" s="263">
        <v>25.64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591</v>
      </c>
      <c r="D45" s="263">
        <v>299.57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591</v>
      </c>
      <c r="D46" s="263">
        <v>363.52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591</v>
      </c>
      <c r="D47" s="263">
        <v>828.93</v>
      </c>
      <c r="E47" s="264">
        <v>7480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591</v>
      </c>
      <c r="D48" s="263">
        <v>407.34</v>
      </c>
      <c r="E48" s="264">
        <v>3549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591</v>
      </c>
      <c r="D49" s="263">
        <v>232.52</v>
      </c>
      <c r="E49" s="264">
        <v>2643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591</v>
      </c>
      <c r="D50" s="263">
        <v>16.05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591</v>
      </c>
      <c r="D51" s="263">
        <v>650.73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590</v>
      </c>
      <c r="D52" s="263">
        <v>22.57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591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591</v>
      </c>
      <c r="D54" s="257">
        <v>1198.1099999999999</v>
      </c>
      <c r="E54" s="258">
        <v>12780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591</v>
      </c>
      <c r="D55" s="263">
        <v>18.79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591</v>
      </c>
      <c r="D56" s="263">
        <v>941.54</v>
      </c>
      <c r="E56" s="264">
        <v>14340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591</v>
      </c>
      <c r="D57" s="263">
        <v>135.94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606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24" customFormat="1" ht="26.25" x14ac:dyDescent="0.25">
      <c r="A59" s="317" t="s">
        <v>255</v>
      </c>
      <c r="B59" s="318">
        <v>6973803</v>
      </c>
      <c r="C59" s="322" t="s">
        <v>561</v>
      </c>
      <c r="D59" s="320">
        <v>0</v>
      </c>
      <c r="E59" s="321">
        <v>0</v>
      </c>
      <c r="F59" s="320"/>
      <c r="G59" s="321"/>
      <c r="H59" s="320"/>
      <c r="I59" s="321"/>
      <c r="J59" s="322" t="s">
        <v>33</v>
      </c>
      <c r="K59" s="317"/>
      <c r="L59" s="322"/>
      <c r="M59" s="323" t="s">
        <v>447</v>
      </c>
      <c r="N59" s="323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606</v>
      </c>
      <c r="D60" s="263">
        <v>900.36</v>
      </c>
      <c r="E60" s="264">
        <v>11232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24" customFormat="1" x14ac:dyDescent="0.25">
      <c r="A61" s="317" t="s">
        <v>253</v>
      </c>
      <c r="B61" s="318">
        <v>4934809</v>
      </c>
      <c r="C61" s="322" t="s">
        <v>561</v>
      </c>
      <c r="D61" s="320">
        <v>0</v>
      </c>
      <c r="E61" s="321">
        <v>0</v>
      </c>
      <c r="F61" s="320"/>
      <c r="G61" s="321"/>
      <c r="H61" s="320"/>
      <c r="I61" s="321"/>
      <c r="J61" s="322" t="s">
        <v>33</v>
      </c>
      <c r="K61" s="317"/>
      <c r="L61" s="322"/>
      <c r="M61" s="323" t="s">
        <v>447</v>
      </c>
      <c r="N61" s="323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606</v>
      </c>
      <c r="D62" s="263">
        <v>195.73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606</v>
      </c>
      <c r="D63" s="263">
        <v>27.16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584</v>
      </c>
      <c r="D64" s="263">
        <v>63.53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603</v>
      </c>
      <c r="D65" s="263">
        <v>54.48</v>
      </c>
      <c r="E65" s="264">
        <v>507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603</v>
      </c>
      <c r="D66" s="263">
        <v>65.75</v>
      </c>
      <c r="E66" s="264">
        <v>661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603</v>
      </c>
      <c r="D67" s="263">
        <v>59.12</v>
      </c>
      <c r="E67" s="264">
        <v>575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603</v>
      </c>
      <c r="D68" s="263">
        <v>22.5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604</v>
      </c>
      <c r="D69" s="263">
        <v>21.58</v>
      </c>
      <c r="E69" s="264">
        <v>90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604</v>
      </c>
      <c r="D70" s="263">
        <v>31.47</v>
      </c>
      <c r="E70" s="264">
        <v>218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599</v>
      </c>
      <c r="D72" s="263">
        <v>242</v>
      </c>
      <c r="E72" s="264">
        <v>2658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599</v>
      </c>
      <c r="D73" s="263">
        <v>150</v>
      </c>
      <c r="E73" s="264">
        <v>1253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599</v>
      </c>
      <c r="D74" s="263">
        <v>90</v>
      </c>
      <c r="E74" s="264">
        <v>492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599</v>
      </c>
      <c r="D75" s="263">
        <v>43</v>
      </c>
      <c r="E75" s="264">
        <v>160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599</v>
      </c>
      <c r="D76" s="263">
        <v>34</v>
      </c>
      <c r="E76" s="264">
        <v>50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599</v>
      </c>
      <c r="D77" s="263">
        <v>232</v>
      </c>
      <c r="E77" s="264">
        <v>2282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599</v>
      </c>
      <c r="D78" s="263">
        <v>104</v>
      </c>
      <c r="E78" s="264">
        <v>1026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599</v>
      </c>
      <c r="D79" s="263">
        <v>51</v>
      </c>
      <c r="E79" s="264">
        <v>262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599</v>
      </c>
      <c r="D80" s="263">
        <v>56</v>
      </c>
      <c r="E80" s="264">
        <v>74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599</v>
      </c>
      <c r="D81" s="263">
        <v>31</v>
      </c>
      <c r="E81" s="264">
        <v>1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599</v>
      </c>
      <c r="D82" s="263">
        <v>34</v>
      </c>
      <c r="E82" s="264">
        <v>39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599</v>
      </c>
      <c r="D83" s="263">
        <v>96</v>
      </c>
      <c r="E83" s="264">
        <v>645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602</v>
      </c>
      <c r="D84" s="263">
        <v>1370</v>
      </c>
      <c r="E84" s="264">
        <v>13320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45</v>
      </c>
      <c r="C85" s="262" t="s">
        <v>599</v>
      </c>
      <c r="D85" s="263">
        <v>45</v>
      </c>
      <c r="E85" s="264">
        <v>193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599</v>
      </c>
      <c r="D86" s="263">
        <v>56</v>
      </c>
      <c r="E86" s="264">
        <v>12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599</v>
      </c>
      <c r="D87" s="263">
        <v>31</v>
      </c>
      <c r="E87" s="264">
        <v>6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599</v>
      </c>
      <c r="D88" s="263">
        <v>57</v>
      </c>
      <c r="E88" s="264">
        <v>243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599</v>
      </c>
      <c r="D89" s="263">
        <v>355</v>
      </c>
      <c r="E89" s="264">
        <v>3600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599</v>
      </c>
      <c r="D90" s="263">
        <v>1208</v>
      </c>
      <c r="E90" s="264">
        <v>5280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598</v>
      </c>
      <c r="D91" s="263">
        <v>249</v>
      </c>
      <c r="E91" s="264">
        <v>37.22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599</v>
      </c>
      <c r="D92" s="263">
        <v>140</v>
      </c>
      <c r="E92" s="264">
        <v>631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553</v>
      </c>
      <c r="D93" s="263">
        <v>73</v>
      </c>
      <c r="E93" s="264">
        <v>443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599</v>
      </c>
      <c r="D94" s="263">
        <v>92</v>
      </c>
      <c r="E94" s="264">
        <v>564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599</v>
      </c>
      <c r="D95" s="263">
        <v>44</v>
      </c>
      <c r="E95" s="264">
        <v>170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>
        <v>0</v>
      </c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598</v>
      </c>
      <c r="D97" s="263"/>
      <c r="E97" s="264"/>
      <c r="F97" s="263"/>
      <c r="G97" s="264"/>
      <c r="H97" s="263">
        <v>190.32</v>
      </c>
      <c r="I97" s="264">
        <v>277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598</v>
      </c>
      <c r="D98" s="263"/>
      <c r="E98" s="264"/>
      <c r="F98" s="263"/>
      <c r="G98" s="264"/>
      <c r="H98" s="263">
        <v>189.61</v>
      </c>
      <c r="I98" s="264">
        <v>276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598</v>
      </c>
      <c r="D99" s="263"/>
      <c r="E99" s="264"/>
      <c r="F99" s="263"/>
      <c r="G99" s="264"/>
      <c r="H99" s="263">
        <v>31.16</v>
      </c>
      <c r="I99" s="264">
        <v>18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598</v>
      </c>
      <c r="D100" s="263"/>
      <c r="E100" s="264"/>
      <c r="F100" s="263"/>
      <c r="G100" s="264"/>
      <c r="H100" s="263">
        <v>51.99</v>
      </c>
      <c r="I100" s="264">
        <v>59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598</v>
      </c>
      <c r="D101" s="263"/>
      <c r="E101" s="264"/>
      <c r="F101" s="263"/>
      <c r="G101" s="264"/>
      <c r="H101" s="263">
        <v>69.61</v>
      </c>
      <c r="I101" s="264">
        <v>92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598</v>
      </c>
      <c r="D102" s="263"/>
      <c r="E102" s="264"/>
      <c r="F102" s="263"/>
      <c r="G102" s="264"/>
      <c r="H102" s="263">
        <v>31.16</v>
      </c>
      <c r="I102" s="264">
        <v>4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598</v>
      </c>
      <c r="D103" s="263"/>
      <c r="E103" s="264"/>
      <c r="F103" s="263"/>
      <c r="G103" s="264"/>
      <c r="H103" s="263">
        <v>36.5</v>
      </c>
      <c r="I103" s="264">
        <v>30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598</v>
      </c>
      <c r="D104" s="263"/>
      <c r="E104" s="264"/>
      <c r="F104" s="263"/>
      <c r="G104" s="264"/>
      <c r="H104" s="263">
        <v>31.16</v>
      </c>
      <c r="I104" s="264">
        <v>5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598</v>
      </c>
      <c r="D105" s="263"/>
      <c r="E105" s="264"/>
      <c r="F105" s="263"/>
      <c r="G105" s="264"/>
      <c r="H105" s="263">
        <v>134.24</v>
      </c>
      <c r="I105" s="264">
        <v>193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598</v>
      </c>
      <c r="D106" s="263"/>
      <c r="E106" s="264"/>
      <c r="F106" s="263"/>
      <c r="G106" s="264"/>
      <c r="H106" s="263">
        <v>31.16</v>
      </c>
      <c r="I106" s="264">
        <v>11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598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598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598</v>
      </c>
      <c r="D109" s="263"/>
      <c r="E109" s="264"/>
      <c r="F109" s="263"/>
      <c r="G109" s="264"/>
      <c r="H109" s="263">
        <v>31.16</v>
      </c>
      <c r="I109" s="264">
        <v>17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598</v>
      </c>
      <c r="D110" s="263"/>
      <c r="E110" s="264"/>
      <c r="F110" s="263"/>
      <c r="G110" s="264"/>
      <c r="H110" s="263">
        <v>95.95</v>
      </c>
      <c r="I110" s="264">
        <v>134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598</v>
      </c>
      <c r="D111" s="263"/>
      <c r="E111" s="264"/>
      <c r="F111" s="263"/>
      <c r="G111" s="264"/>
      <c r="H111" s="263">
        <v>41.84</v>
      </c>
      <c r="I111" s="264">
        <v>40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598</v>
      </c>
      <c r="D112" s="263"/>
      <c r="E112" s="264"/>
      <c r="F112" s="263"/>
      <c r="G112" s="264"/>
      <c r="H112" s="263">
        <v>31.16</v>
      </c>
      <c r="I112" s="264">
        <v>17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598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598</v>
      </c>
      <c r="D114" s="263"/>
      <c r="E114" s="264"/>
      <c r="F114" s="263"/>
      <c r="G114" s="264"/>
      <c r="H114" s="263">
        <v>31.16</v>
      </c>
      <c r="I114" s="264">
        <v>2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598</v>
      </c>
      <c r="D115" s="263"/>
      <c r="E115" s="264"/>
      <c r="F115" s="263"/>
      <c r="G115" s="264"/>
      <c r="H115" s="263">
        <v>31.16</v>
      </c>
      <c r="I115" s="264">
        <v>3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598</v>
      </c>
      <c r="D116" s="263"/>
      <c r="E116" s="264"/>
      <c r="F116" s="263"/>
      <c r="G116" s="264"/>
      <c r="H116" s="263">
        <v>1588.49</v>
      </c>
      <c r="I116" s="264">
        <v>2114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598</v>
      </c>
      <c r="D117" s="263"/>
      <c r="E117" s="264"/>
      <c r="F117" s="263"/>
      <c r="G117" s="264"/>
      <c r="H117" s="263">
        <v>73.88</v>
      </c>
      <c r="I117" s="264">
        <v>100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598</v>
      </c>
      <c r="D118" s="263"/>
      <c r="E118" s="264"/>
      <c r="F118" s="263"/>
      <c r="G118" s="264"/>
      <c r="H118" s="263">
        <v>31.16</v>
      </c>
      <c r="I118" s="264">
        <v>11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598</v>
      </c>
      <c r="D119" s="263"/>
      <c r="E119" s="264"/>
      <c r="F119" s="263"/>
      <c r="G119" s="264"/>
      <c r="H119" s="263">
        <v>38.64</v>
      </c>
      <c r="I119" s="264">
        <v>34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598</v>
      </c>
      <c r="D120" s="263"/>
      <c r="E120" s="264"/>
      <c r="F120" s="263"/>
      <c r="G120" s="264"/>
      <c r="H120" s="263">
        <v>35.97</v>
      </c>
      <c r="I120" s="264">
        <v>29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598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577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577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577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579</v>
      </c>
      <c r="D125" s="263"/>
      <c r="E125" s="264"/>
      <c r="F125" s="263"/>
      <c r="G125" s="264"/>
      <c r="H125" s="263">
        <v>47.18</v>
      </c>
      <c r="I125" s="264">
        <v>50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598</v>
      </c>
      <c r="D126" s="263"/>
      <c r="E126" s="264"/>
      <c r="F126" s="263"/>
      <c r="G126" s="264"/>
      <c r="H126" s="263">
        <v>31.16</v>
      </c>
      <c r="I126" s="264">
        <v>15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598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606</v>
      </c>
      <c r="D128" s="263"/>
      <c r="E128" s="264"/>
      <c r="F128" s="263"/>
      <c r="G128" s="264"/>
      <c r="H128" s="263">
        <v>38.64</v>
      </c>
      <c r="I128" s="264">
        <v>34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577</v>
      </c>
      <c r="D129" s="263"/>
      <c r="E129" s="264"/>
      <c r="F129" s="263"/>
      <c r="G129" s="264"/>
      <c r="H129" s="263">
        <v>92.05</v>
      </c>
      <c r="I129" s="264">
        <v>128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606</v>
      </c>
      <c r="D130" s="263"/>
      <c r="E130" s="264"/>
      <c r="F130" s="263"/>
      <c r="G130" s="264"/>
      <c r="H130" s="263">
        <v>350.72</v>
      </c>
      <c r="I130" s="264">
        <v>496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606</v>
      </c>
      <c r="D131" s="263"/>
      <c r="E131" s="264"/>
      <c r="F131" s="263"/>
      <c r="G131" s="264"/>
      <c r="H131" s="263">
        <v>63.2</v>
      </c>
      <c r="I131" s="264">
        <v>80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606</v>
      </c>
      <c r="D132" s="263"/>
      <c r="E132" s="264"/>
      <c r="F132" s="263"/>
      <c r="G132" s="264"/>
      <c r="H132" s="263">
        <v>1441.61</v>
      </c>
      <c r="I132" s="264">
        <v>1922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606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606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606</v>
      </c>
      <c r="D135" s="263"/>
      <c r="E135" s="264"/>
      <c r="F135" s="263"/>
      <c r="G135" s="264"/>
      <c r="H135" s="263">
        <v>34.36</v>
      </c>
      <c r="I135" s="264">
        <v>26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606</v>
      </c>
      <c r="D136" s="263"/>
      <c r="E136" s="264"/>
      <c r="F136" s="263"/>
      <c r="G136" s="264"/>
      <c r="H136" s="263">
        <v>463.18</v>
      </c>
      <c r="I136" s="264">
        <v>643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606</v>
      </c>
      <c r="D137" s="263"/>
      <c r="E137" s="264"/>
      <c r="F137" s="263"/>
      <c r="G137" s="264"/>
      <c r="H137" s="263">
        <v>104.38</v>
      </c>
      <c r="I137" s="264">
        <v>147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606</v>
      </c>
      <c r="D138" s="263"/>
      <c r="E138" s="264"/>
      <c r="F138" s="263"/>
      <c r="G138" s="264"/>
      <c r="H138" s="263">
        <v>127.75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534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534</v>
      </c>
      <c r="D141" s="269"/>
      <c r="E141" s="270"/>
      <c r="F141" s="269"/>
      <c r="G141" s="270"/>
      <c r="H141" s="269">
        <v>60</v>
      </c>
      <c r="I141" s="270">
        <v>700</v>
      </c>
      <c r="J141" s="245"/>
      <c r="K141" s="267"/>
      <c r="L141" s="245"/>
      <c r="M141" s="246"/>
      <c r="N141" s="246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42499</v>
      </c>
      <c r="D143" s="269"/>
      <c r="E143" s="270"/>
      <c r="F143" s="269"/>
      <c r="G143" s="270"/>
      <c r="H143" s="269">
        <v>30.15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596</v>
      </c>
      <c r="D145" s="263"/>
      <c r="E145" s="264"/>
      <c r="F145" s="263"/>
      <c r="G145" s="264"/>
      <c r="H145" s="263">
        <v>16</v>
      </c>
      <c r="I145" s="264">
        <v>200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84" customFormat="1" ht="26.25" x14ac:dyDescent="0.25">
      <c r="A147" s="267" t="s">
        <v>355</v>
      </c>
      <c r="B147" s="268" t="s">
        <v>356</v>
      </c>
      <c r="C147" s="289" t="s">
        <v>581</v>
      </c>
      <c r="D147" s="269"/>
      <c r="E147" s="270"/>
      <c r="F147" s="269"/>
      <c r="G147" s="270"/>
      <c r="H147" s="269">
        <v>127.54</v>
      </c>
      <c r="I147" s="270">
        <v>241080</v>
      </c>
      <c r="J147" s="245"/>
      <c r="K147" s="267"/>
      <c r="L147" s="245"/>
      <c r="M147" s="246"/>
      <c r="N147" s="246"/>
    </row>
    <row r="148" spans="1:14" s="184" customFormat="1" x14ac:dyDescent="0.25">
      <c r="A148" s="245"/>
      <c r="B148" s="245"/>
      <c r="C148" s="245"/>
      <c r="D148" s="292">
        <f t="shared" ref="D148:I148" si="0">SUM(D2:D145)</f>
        <v>21120.68</v>
      </c>
      <c r="E148" s="270">
        <f t="shared" si="0"/>
        <v>219191.22</v>
      </c>
      <c r="F148" s="292">
        <f t="shared" si="0"/>
        <v>1358.9499999999998</v>
      </c>
      <c r="G148" s="270">
        <f t="shared" si="0"/>
        <v>1368</v>
      </c>
      <c r="H148" s="292">
        <f t="shared" si="0"/>
        <v>6105.0399999999981</v>
      </c>
      <c r="I148" s="270">
        <f t="shared" si="0"/>
        <v>8366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600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14"/>
      <c r="B4" s="315"/>
      <c r="C4" s="315"/>
      <c r="D4" s="315"/>
      <c r="E4" s="315"/>
      <c r="F4" s="315"/>
      <c r="G4" s="31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198494</v>
      </c>
      <c r="D13" s="34"/>
      <c r="E13" s="35" t="s">
        <v>33</v>
      </c>
      <c r="F13" s="34"/>
      <c r="G13" s="42">
        <v>19959.400000000001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2523</v>
      </c>
      <c r="D15" s="34"/>
      <c r="E15" s="35" t="s">
        <v>10</v>
      </c>
      <c r="F15" s="34"/>
      <c r="G15" s="42">
        <v>1945.19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8808</v>
      </c>
      <c r="D17" s="34"/>
      <c r="E17" s="35" t="s">
        <v>278</v>
      </c>
      <c r="F17" s="34"/>
      <c r="G17" s="42">
        <v>6125.12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150"/>
  <sheetViews>
    <sheetView zoomScale="110" zoomScaleNormal="110" workbookViewId="0">
      <pane ySplit="2" topLeftCell="A45" activePane="bottomLeft" state="frozen"/>
      <selection pane="bottomLeft" activeCell="D90" sqref="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568</v>
      </c>
      <c r="D3" s="257"/>
      <c r="E3" s="258"/>
      <c r="F3" s="257">
        <v>756.39</v>
      </c>
      <c r="G3" s="258">
        <v>1610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570</v>
      </c>
      <c r="D4" s="263"/>
      <c r="E4" s="264"/>
      <c r="F4" s="263">
        <v>56.41</v>
      </c>
      <c r="G4" s="264">
        <v>29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569</v>
      </c>
      <c r="D5" s="263"/>
      <c r="E5" s="264"/>
      <c r="F5" s="263">
        <v>43.41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8" customFormat="1" x14ac:dyDescent="0.25">
      <c r="A6" s="254" t="s">
        <v>34</v>
      </c>
      <c r="B6" s="255">
        <v>3039472917</v>
      </c>
      <c r="C6" s="256" t="s">
        <v>567</v>
      </c>
      <c r="D6" s="257"/>
      <c r="E6" s="258"/>
      <c r="F6" s="257">
        <v>64.38</v>
      </c>
      <c r="G6" s="258">
        <v>47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569</v>
      </c>
      <c r="D7" s="263"/>
      <c r="E7" s="264"/>
      <c r="F7" s="263">
        <v>71.959999999999994</v>
      </c>
      <c r="G7" s="264">
        <v>64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569</v>
      </c>
      <c r="D8" s="263"/>
      <c r="E8" s="264"/>
      <c r="F8" s="263">
        <v>52.9</v>
      </c>
      <c r="G8" s="264">
        <v>115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568</v>
      </c>
      <c r="D9" s="263"/>
      <c r="E9" s="264"/>
      <c r="F9" s="263">
        <v>56.14</v>
      </c>
      <c r="G9" s="264">
        <v>19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570</v>
      </c>
      <c r="D10" s="263"/>
      <c r="E10" s="264"/>
      <c r="F10" s="263">
        <v>145.54</v>
      </c>
      <c r="G10" s="264">
        <v>228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570</v>
      </c>
      <c r="D11" s="263"/>
      <c r="E11" s="264"/>
      <c r="F11" s="263">
        <v>78.28</v>
      </c>
      <c r="G11" s="264">
        <v>80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568</v>
      </c>
      <c r="D12" s="263"/>
      <c r="E12" s="264"/>
      <c r="F12" s="263">
        <v>48.47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570</v>
      </c>
      <c r="D13" s="263"/>
      <c r="E13" s="264"/>
      <c r="F13" s="263">
        <v>43.41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570</v>
      </c>
      <c r="D14" s="263"/>
      <c r="E14" s="264"/>
      <c r="F14" s="263">
        <v>260.72000000000003</v>
      </c>
      <c r="G14" s="264">
        <v>74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569</v>
      </c>
      <c r="D15" s="263"/>
      <c r="E15" s="264"/>
      <c r="F15" s="263">
        <v>48.77</v>
      </c>
      <c r="G15" s="264">
        <v>12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570</v>
      </c>
      <c r="D16" s="263"/>
      <c r="E16" s="264"/>
      <c r="F16" s="263">
        <v>145.54</v>
      </c>
      <c r="G16" s="264">
        <v>228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576</v>
      </c>
      <c r="D17" s="263"/>
      <c r="E17" s="264"/>
      <c r="F17" s="263">
        <v>30.37</v>
      </c>
      <c r="G17" s="264">
        <v>17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576</v>
      </c>
      <c r="D18" s="263"/>
      <c r="E18" s="264"/>
      <c r="F18" s="263">
        <v>42.5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582</v>
      </c>
      <c r="D20" s="263">
        <v>5021.8999999999996</v>
      </c>
      <c r="E20" s="264">
        <v>79600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583</v>
      </c>
      <c r="D21" s="263">
        <v>492.13</v>
      </c>
      <c r="E21" s="264">
        <v>1500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583</v>
      </c>
      <c r="D22" s="263">
        <v>35.51</v>
      </c>
      <c r="E22" s="264">
        <v>267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583</v>
      </c>
      <c r="D23" s="263">
        <v>29.62</v>
      </c>
      <c r="E23" s="264">
        <v>192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583</v>
      </c>
      <c r="D24" s="263">
        <v>113.72</v>
      </c>
      <c r="E24" s="264">
        <v>1266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583</v>
      </c>
      <c r="D25" s="263">
        <v>105.31</v>
      </c>
      <c r="E25" s="264">
        <v>1177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583</v>
      </c>
      <c r="D26" s="263">
        <v>304.52999999999997</v>
      </c>
      <c r="E26" s="264">
        <v>3178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583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583</v>
      </c>
      <c r="D28" s="263">
        <v>112.09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583</v>
      </c>
      <c r="D29" s="263">
        <v>18.21</v>
      </c>
      <c r="E29" s="264">
        <v>46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583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589</v>
      </c>
      <c r="D31" s="263">
        <v>182.25</v>
      </c>
      <c r="E31" s="264">
        <v>822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586</v>
      </c>
      <c r="D32" s="263">
        <v>22.13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589</v>
      </c>
      <c r="D33" s="263">
        <v>200</v>
      </c>
      <c r="E33" s="264">
        <v>944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586</v>
      </c>
      <c r="D34" s="263">
        <v>136.57</v>
      </c>
      <c r="E34" s="264">
        <v>1591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586</v>
      </c>
      <c r="D35" s="263">
        <v>26.92</v>
      </c>
      <c r="E35" s="264">
        <v>164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589</v>
      </c>
      <c r="D36" s="263">
        <v>622.13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586</v>
      </c>
      <c r="D37" s="263">
        <v>49.97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589</v>
      </c>
      <c r="D38" s="263">
        <v>22.57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13" customFormat="1" ht="26.25" x14ac:dyDescent="0.25">
      <c r="A39" s="307" t="s">
        <v>254</v>
      </c>
      <c r="B39" s="308">
        <v>4955887</v>
      </c>
      <c r="C39" s="309" t="s">
        <v>541</v>
      </c>
      <c r="D39" s="310">
        <v>25.78</v>
      </c>
      <c r="E39" s="311">
        <v>140</v>
      </c>
      <c r="F39" s="310"/>
      <c r="G39" s="311"/>
      <c r="H39" s="310"/>
      <c r="I39" s="311"/>
      <c r="J39" s="309" t="s">
        <v>33</v>
      </c>
      <c r="K39" s="307"/>
      <c r="L39" s="309"/>
      <c r="M39" s="312" t="s">
        <v>447</v>
      </c>
      <c r="N39" s="312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584</v>
      </c>
      <c r="D40" s="263">
        <v>252.86</v>
      </c>
      <c r="E40" s="264">
        <v>2646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566</v>
      </c>
      <c r="D41" s="263">
        <v>22.73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566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566</v>
      </c>
      <c r="D43" s="263">
        <v>1194.58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566</v>
      </c>
      <c r="D44" s="263">
        <v>25.8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566</v>
      </c>
      <c r="D45" s="263">
        <v>300.97000000000003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566</v>
      </c>
      <c r="D46" s="263">
        <v>365.86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566</v>
      </c>
      <c r="D47" s="263">
        <v>629.82000000000005</v>
      </c>
      <c r="E47" s="264">
        <v>5640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566</v>
      </c>
      <c r="D48" s="263">
        <v>427.82</v>
      </c>
      <c r="E48" s="264">
        <v>3721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566</v>
      </c>
      <c r="D49" s="263">
        <v>201.92</v>
      </c>
      <c r="E49" s="264">
        <v>2251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566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566</v>
      </c>
      <c r="D51" s="263">
        <v>654.94000000000005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566</v>
      </c>
      <c r="D52" s="263">
        <v>22.73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566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566</v>
      </c>
      <c r="D54" s="257">
        <v>1103.94</v>
      </c>
      <c r="E54" s="258">
        <v>11880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566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566</v>
      </c>
      <c r="D56" s="263">
        <v>800.38</v>
      </c>
      <c r="E56" s="264">
        <v>12480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566</v>
      </c>
      <c r="D57" s="263">
        <v>135.94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26.25" x14ac:dyDescent="0.25">
      <c r="A58" s="260" t="s">
        <v>153</v>
      </c>
      <c r="B58" s="261">
        <v>8327232</v>
      </c>
      <c r="C58" s="262" t="s">
        <v>584</v>
      </c>
      <c r="D58" s="263">
        <v>74.16</v>
      </c>
      <c r="E58" s="264">
        <v>75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13" customFormat="1" ht="26.25" x14ac:dyDescent="0.25">
      <c r="A59" s="307" t="s">
        <v>255</v>
      </c>
      <c r="B59" s="308">
        <v>6973803</v>
      </c>
      <c r="C59" s="309" t="s">
        <v>561</v>
      </c>
      <c r="D59" s="310">
        <v>14.6</v>
      </c>
      <c r="E59" s="311">
        <v>0</v>
      </c>
      <c r="F59" s="310"/>
      <c r="G59" s="311"/>
      <c r="H59" s="310"/>
      <c r="I59" s="311"/>
      <c r="J59" s="309" t="s">
        <v>33</v>
      </c>
      <c r="K59" s="307"/>
      <c r="L59" s="309"/>
      <c r="M59" s="312" t="s">
        <v>447</v>
      </c>
      <c r="N59" s="312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584</v>
      </c>
      <c r="D60" s="263">
        <v>685.18</v>
      </c>
      <c r="E60" s="264">
        <v>8363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13" customFormat="1" x14ac:dyDescent="0.25">
      <c r="A61" s="307" t="s">
        <v>253</v>
      </c>
      <c r="B61" s="308">
        <v>4934809</v>
      </c>
      <c r="C61" s="309" t="s">
        <v>561</v>
      </c>
      <c r="D61" s="310">
        <v>28.91</v>
      </c>
      <c r="E61" s="311">
        <v>180</v>
      </c>
      <c r="F61" s="310"/>
      <c r="G61" s="311"/>
      <c r="H61" s="310"/>
      <c r="I61" s="311"/>
      <c r="J61" s="309" t="s">
        <v>33</v>
      </c>
      <c r="K61" s="307"/>
      <c r="L61" s="309"/>
      <c r="M61" s="312" t="s">
        <v>447</v>
      </c>
      <c r="N61" s="312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584</v>
      </c>
      <c r="D62" s="263">
        <v>174.82</v>
      </c>
      <c r="E62" s="264">
        <v>400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584</v>
      </c>
      <c r="D63" s="263">
        <v>27.22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586</v>
      </c>
      <c r="D64" s="263">
        <v>63.53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583</v>
      </c>
      <c r="D65" s="263">
        <v>43.56</v>
      </c>
      <c r="E65" s="264">
        <v>364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583</v>
      </c>
      <c r="D66" s="263">
        <v>54.84</v>
      </c>
      <c r="E66" s="264">
        <v>514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583</v>
      </c>
      <c r="D67" s="263">
        <v>32.29</v>
      </c>
      <c r="E67" s="264">
        <v>226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583</v>
      </c>
      <c r="D68" s="263">
        <v>22.56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583</v>
      </c>
      <c r="D69" s="263">
        <v>17.97</v>
      </c>
      <c r="E69" s="264">
        <v>43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583</v>
      </c>
      <c r="D70" s="263">
        <v>15.21</v>
      </c>
      <c r="E70" s="264">
        <v>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572</v>
      </c>
      <c r="D72" s="263">
        <v>176</v>
      </c>
      <c r="E72" s="264">
        <v>1867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572</v>
      </c>
      <c r="D73" s="263">
        <v>153</v>
      </c>
      <c r="E73" s="264">
        <v>1320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572</v>
      </c>
      <c r="D74" s="263">
        <v>77</v>
      </c>
      <c r="E74" s="264">
        <v>334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572</v>
      </c>
      <c r="D75" s="263">
        <v>39</v>
      </c>
      <c r="E75" s="264">
        <v>111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572</v>
      </c>
      <c r="D76" s="263">
        <v>36</v>
      </c>
      <c r="E76" s="264">
        <v>66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572</v>
      </c>
      <c r="D77" s="263">
        <v>220</v>
      </c>
      <c r="E77" s="264">
        <v>2411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572</v>
      </c>
      <c r="D78" s="263">
        <v>97</v>
      </c>
      <c r="E78" s="264">
        <v>959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572</v>
      </c>
      <c r="D79" s="263">
        <v>49</v>
      </c>
      <c r="E79" s="264">
        <v>338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572</v>
      </c>
      <c r="D80" s="263">
        <v>65</v>
      </c>
      <c r="E80" s="264">
        <v>109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575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572</v>
      </c>
      <c r="D82" s="263">
        <v>32</v>
      </c>
      <c r="E82" s="264">
        <v>15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572</v>
      </c>
      <c r="D83" s="263">
        <v>61</v>
      </c>
      <c r="E83" s="264">
        <v>221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580</v>
      </c>
      <c r="D84" s="263">
        <v>1526</v>
      </c>
      <c r="E84" s="264">
        <v>12360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572</v>
      </c>
      <c r="D85" s="263">
        <v>48</v>
      </c>
      <c r="E85" s="264">
        <v>131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572</v>
      </c>
      <c r="D86" s="263">
        <v>56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572</v>
      </c>
      <c r="D87" s="263">
        <v>31</v>
      </c>
      <c r="E87" s="264">
        <v>10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572</v>
      </c>
      <c r="D88" s="263">
        <v>50</v>
      </c>
      <c r="E88" s="264">
        <v>153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572</v>
      </c>
      <c r="D89" s="263">
        <v>326</v>
      </c>
      <c r="E89" s="264">
        <v>3300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572</v>
      </c>
      <c r="D90" s="263">
        <v>1127</v>
      </c>
      <c r="E90" s="264">
        <v>3720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84" customFormat="1" ht="26.25" x14ac:dyDescent="0.25">
      <c r="A91" s="267" t="s">
        <v>102</v>
      </c>
      <c r="B91" s="268" t="s">
        <v>200</v>
      </c>
      <c r="C91" s="245" t="s">
        <v>553</v>
      </c>
      <c r="D91" s="269">
        <v>428</v>
      </c>
      <c r="E91" s="270">
        <v>2512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149" customFormat="1" ht="26.25" x14ac:dyDescent="0.25">
      <c r="A92" s="260" t="s">
        <v>110</v>
      </c>
      <c r="B92" s="261" t="s">
        <v>207</v>
      </c>
      <c r="C92" s="262" t="s">
        <v>572</v>
      </c>
      <c r="D92" s="263">
        <v>118</v>
      </c>
      <c r="E92" s="264">
        <v>367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84" customFormat="1" ht="26.25" x14ac:dyDescent="0.25">
      <c r="A93" s="267" t="s">
        <v>111</v>
      </c>
      <c r="B93" s="268" t="s">
        <v>222</v>
      </c>
      <c r="C93" s="245" t="s">
        <v>553</v>
      </c>
      <c r="D93" s="269">
        <v>73</v>
      </c>
      <c r="E93" s="270">
        <v>443</v>
      </c>
      <c r="F93" s="269"/>
      <c r="G93" s="270"/>
      <c r="H93" s="269"/>
      <c r="I93" s="270"/>
      <c r="J93" s="245" t="s">
        <v>33</v>
      </c>
      <c r="K93" s="267"/>
      <c r="L93" s="245"/>
      <c r="M93" s="246"/>
      <c r="N93" s="246"/>
    </row>
    <row r="94" spans="1:14" s="149" customFormat="1" ht="26.25" x14ac:dyDescent="0.25">
      <c r="A94" s="260" t="s">
        <v>117</v>
      </c>
      <c r="B94" s="261" t="s">
        <v>220</v>
      </c>
      <c r="C94" s="262" t="s">
        <v>573</v>
      </c>
      <c r="D94" s="263">
        <v>86</v>
      </c>
      <c r="E94" s="264">
        <v>504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572</v>
      </c>
      <c r="D95" s="263">
        <v>43</v>
      </c>
      <c r="E95" s="264">
        <v>161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577</v>
      </c>
      <c r="D97" s="263"/>
      <c r="E97" s="264"/>
      <c r="F97" s="263"/>
      <c r="G97" s="264"/>
      <c r="H97" s="263">
        <v>174.77</v>
      </c>
      <c r="I97" s="264">
        <v>255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577</v>
      </c>
      <c r="D98" s="263"/>
      <c r="E98" s="264"/>
      <c r="F98" s="263"/>
      <c r="G98" s="264"/>
      <c r="H98" s="263">
        <v>195.27</v>
      </c>
      <c r="I98" s="264">
        <v>284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577</v>
      </c>
      <c r="D99" s="263"/>
      <c r="E99" s="264"/>
      <c r="F99" s="263"/>
      <c r="G99" s="264"/>
      <c r="H99" s="263">
        <v>31.16</v>
      </c>
      <c r="I99" s="264">
        <v>8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577</v>
      </c>
      <c r="D100" s="263"/>
      <c r="E100" s="264"/>
      <c r="F100" s="263"/>
      <c r="G100" s="264"/>
      <c r="H100" s="263">
        <v>702.62</v>
      </c>
      <c r="I100" s="264">
        <v>956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577</v>
      </c>
      <c r="D101" s="263"/>
      <c r="E101" s="264"/>
      <c r="F101" s="263"/>
      <c r="G101" s="264"/>
      <c r="H101" s="263">
        <v>86.21</v>
      </c>
      <c r="I101" s="264">
        <v>119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577</v>
      </c>
      <c r="D102" s="263"/>
      <c r="E102" s="264"/>
      <c r="F102" s="263"/>
      <c r="G102" s="264"/>
      <c r="H102" s="263">
        <v>31.16</v>
      </c>
      <c r="I102" s="264">
        <v>7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577</v>
      </c>
      <c r="D103" s="263"/>
      <c r="E103" s="264"/>
      <c r="F103" s="263"/>
      <c r="G103" s="264"/>
      <c r="H103" s="263">
        <v>33.83</v>
      </c>
      <c r="I103" s="264">
        <v>25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577</v>
      </c>
      <c r="D104" s="263"/>
      <c r="E104" s="264"/>
      <c r="F104" s="263"/>
      <c r="G104" s="264"/>
      <c r="H104" s="263">
        <v>31.16</v>
      </c>
      <c r="I104" s="264">
        <v>8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577</v>
      </c>
      <c r="D105" s="263"/>
      <c r="E105" s="264"/>
      <c r="F105" s="263"/>
      <c r="G105" s="264"/>
      <c r="H105" s="263">
        <v>114.12</v>
      </c>
      <c r="I105" s="264">
        <v>162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577</v>
      </c>
      <c r="D106" s="263"/>
      <c r="E106" s="264"/>
      <c r="F106" s="263"/>
      <c r="G106" s="264"/>
      <c r="H106" s="263">
        <v>31.69</v>
      </c>
      <c r="I106" s="264">
        <v>21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577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577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577</v>
      </c>
      <c r="D109" s="263"/>
      <c r="E109" s="264"/>
      <c r="F109" s="263"/>
      <c r="G109" s="264"/>
      <c r="H109" s="263">
        <v>32.229999999999997</v>
      </c>
      <c r="I109" s="264">
        <v>22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577</v>
      </c>
      <c r="D110" s="263"/>
      <c r="E110" s="264"/>
      <c r="F110" s="263"/>
      <c r="G110" s="264"/>
      <c r="H110" s="263">
        <v>51.45</v>
      </c>
      <c r="I110" s="264">
        <v>58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578</v>
      </c>
      <c r="D111" s="263"/>
      <c r="E111" s="264"/>
      <c r="F111" s="263"/>
      <c r="G111" s="264"/>
      <c r="H111" s="263">
        <v>31.16</v>
      </c>
      <c r="I111" s="264">
        <v>14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577</v>
      </c>
      <c r="D112" s="263"/>
      <c r="E112" s="264"/>
      <c r="F112" s="263"/>
      <c r="G112" s="264"/>
      <c r="H112" s="263">
        <v>31.16</v>
      </c>
      <c r="I112" s="264">
        <v>11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577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577</v>
      </c>
      <c r="D114" s="263"/>
      <c r="E114" s="264"/>
      <c r="F114" s="263"/>
      <c r="G114" s="264"/>
      <c r="H114" s="263">
        <v>31.16</v>
      </c>
      <c r="I114" s="264">
        <v>17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577</v>
      </c>
      <c r="D115" s="263"/>
      <c r="E115" s="264"/>
      <c r="F115" s="263"/>
      <c r="G115" s="264"/>
      <c r="H115" s="263">
        <v>31.16</v>
      </c>
      <c r="I115" s="264">
        <v>2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577</v>
      </c>
      <c r="D116" s="263"/>
      <c r="E116" s="264"/>
      <c r="F116" s="263"/>
      <c r="G116" s="264"/>
      <c r="H116" s="263">
        <v>328.54</v>
      </c>
      <c r="I116" s="264">
        <v>467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577</v>
      </c>
      <c r="D117" s="263"/>
      <c r="E117" s="264"/>
      <c r="F117" s="263"/>
      <c r="G117" s="264"/>
      <c r="H117" s="263">
        <v>153.06</v>
      </c>
      <c r="I117" s="264">
        <v>222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577</v>
      </c>
      <c r="D118" s="263"/>
      <c r="E118" s="264"/>
      <c r="F118" s="263"/>
      <c r="G118" s="264"/>
      <c r="H118" s="263">
        <v>31.16</v>
      </c>
      <c r="I118" s="264">
        <v>1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577</v>
      </c>
      <c r="D119" s="263"/>
      <c r="E119" s="264"/>
      <c r="F119" s="263"/>
      <c r="G119" s="264"/>
      <c r="H119" s="263">
        <v>32.229999999999997</v>
      </c>
      <c r="I119" s="264">
        <v>22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577</v>
      </c>
      <c r="D120" s="263"/>
      <c r="E120" s="264"/>
      <c r="F120" s="263"/>
      <c r="G120" s="264"/>
      <c r="H120" s="263">
        <v>31.16</v>
      </c>
      <c r="I120" s="264">
        <v>8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577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577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577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577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579</v>
      </c>
      <c r="D125" s="263"/>
      <c r="E125" s="264"/>
      <c r="F125" s="263"/>
      <c r="G125" s="264"/>
      <c r="H125" s="263">
        <v>47.18</v>
      </c>
      <c r="I125" s="264">
        <v>50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46</v>
      </c>
      <c r="B126" s="268" t="s">
        <v>193</v>
      </c>
      <c r="C126" s="245" t="s">
        <v>553</v>
      </c>
      <c r="D126" s="269"/>
      <c r="E126" s="270"/>
      <c r="F126" s="269"/>
      <c r="G126" s="270"/>
      <c r="H126" s="269">
        <v>31.16</v>
      </c>
      <c r="I126" s="270">
        <v>17</v>
      </c>
      <c r="J126" s="245"/>
      <c r="K126" s="267"/>
      <c r="L126" s="245"/>
      <c r="M126" s="246"/>
      <c r="N126" s="246"/>
    </row>
    <row r="127" spans="1:14" s="149" customFormat="1" ht="26.25" x14ac:dyDescent="0.25">
      <c r="A127" s="260" t="s">
        <v>17</v>
      </c>
      <c r="B127" s="261" t="s">
        <v>192</v>
      </c>
      <c r="C127" s="262" t="s">
        <v>577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586</v>
      </c>
      <c r="D128" s="263"/>
      <c r="E128" s="264"/>
      <c r="F128" s="263"/>
      <c r="G128" s="264"/>
      <c r="H128" s="263">
        <v>43.98</v>
      </c>
      <c r="I128" s="264">
        <v>44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577</v>
      </c>
      <c r="D129" s="263"/>
      <c r="E129" s="264"/>
      <c r="F129" s="263"/>
      <c r="G129" s="264"/>
      <c r="H129" s="263">
        <v>92.05</v>
      </c>
      <c r="I129" s="264">
        <v>128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586</v>
      </c>
      <c r="D130" s="263"/>
      <c r="E130" s="264"/>
      <c r="F130" s="263"/>
      <c r="G130" s="264"/>
      <c r="H130" s="263">
        <v>905.35</v>
      </c>
      <c r="I130" s="264">
        <v>1221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586</v>
      </c>
      <c r="D131" s="263"/>
      <c r="E131" s="264"/>
      <c r="F131" s="263"/>
      <c r="G131" s="264"/>
      <c r="H131" s="263">
        <v>51.99</v>
      </c>
      <c r="I131" s="264">
        <v>59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586</v>
      </c>
      <c r="D132" s="263"/>
      <c r="E132" s="264"/>
      <c r="F132" s="263"/>
      <c r="G132" s="264"/>
      <c r="H132" s="263">
        <v>1440.08</v>
      </c>
      <c r="I132" s="264">
        <v>1920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586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586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586</v>
      </c>
      <c r="D135" s="263"/>
      <c r="E135" s="264"/>
      <c r="F135" s="263"/>
      <c r="G135" s="264"/>
      <c r="H135" s="263">
        <v>43.98</v>
      </c>
      <c r="I135" s="264">
        <v>44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586</v>
      </c>
      <c r="D136" s="263"/>
      <c r="E136" s="264"/>
      <c r="F136" s="263"/>
      <c r="G136" s="264"/>
      <c r="H136" s="263">
        <v>280.33999999999997</v>
      </c>
      <c r="I136" s="264">
        <v>404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586</v>
      </c>
      <c r="D137" s="263"/>
      <c r="E137" s="264"/>
      <c r="F137" s="263"/>
      <c r="G137" s="264"/>
      <c r="H137" s="263">
        <v>344.6</v>
      </c>
      <c r="I137" s="264">
        <v>488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586</v>
      </c>
      <c r="D138" s="263"/>
      <c r="E138" s="264"/>
      <c r="F138" s="263"/>
      <c r="G138" s="264"/>
      <c r="H138" s="263">
        <v>144.62</v>
      </c>
      <c r="I138" s="264">
        <v>209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534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534</v>
      </c>
      <c r="D141" s="269"/>
      <c r="E141" s="270"/>
      <c r="F141" s="269"/>
      <c r="G141" s="270"/>
      <c r="H141" s="269">
        <v>60</v>
      </c>
      <c r="I141" s="270">
        <v>700</v>
      </c>
      <c r="J141" s="245"/>
      <c r="K141" s="267"/>
      <c r="L141" s="245"/>
      <c r="M141" s="246"/>
      <c r="N141" s="246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49" customFormat="1" ht="26.25" x14ac:dyDescent="0.25">
      <c r="A143" s="260" t="s">
        <v>156</v>
      </c>
      <c r="B143" s="291">
        <v>61</v>
      </c>
      <c r="C143" s="266">
        <v>42499</v>
      </c>
      <c r="D143" s="263"/>
      <c r="E143" s="264"/>
      <c r="F143" s="263"/>
      <c r="G143" s="264"/>
      <c r="H143" s="263">
        <v>30.15</v>
      </c>
      <c r="I143" s="264">
        <v>30</v>
      </c>
      <c r="J143" s="262"/>
      <c r="K143" s="260"/>
      <c r="L143" s="262"/>
      <c r="M143" s="265"/>
      <c r="N143" s="265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571</v>
      </c>
      <c r="D145" s="263"/>
      <c r="E145" s="264"/>
      <c r="F145" s="263"/>
      <c r="G145" s="264"/>
      <c r="H145" s="263">
        <v>16</v>
      </c>
      <c r="I145" s="264">
        <v>600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355</v>
      </c>
      <c r="B147" s="261" t="s">
        <v>356</v>
      </c>
      <c r="C147" s="266" t="s">
        <v>581</v>
      </c>
      <c r="D147" s="263"/>
      <c r="E147" s="264"/>
      <c r="F147" s="263"/>
      <c r="G147" s="264"/>
      <c r="H147" s="263">
        <v>127.54</v>
      </c>
      <c r="I147" s="264">
        <v>241080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19959.399999999998</v>
      </c>
      <c r="E148" s="270">
        <f t="shared" si="0"/>
        <v>198494</v>
      </c>
      <c r="F148" s="292">
        <f t="shared" si="0"/>
        <v>1945.19</v>
      </c>
      <c r="G148" s="270">
        <f t="shared" si="0"/>
        <v>2523</v>
      </c>
      <c r="H148" s="292">
        <f t="shared" si="0"/>
        <v>6125.1199999999981</v>
      </c>
      <c r="I148" s="270">
        <f t="shared" si="0"/>
        <v>8808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20"/>
  <sheetViews>
    <sheetView workbookViewId="0">
      <selection activeCell="C29" sqref="C2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574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04"/>
      <c r="B4" s="305"/>
      <c r="C4" s="305"/>
      <c r="D4" s="305"/>
      <c r="E4" s="305"/>
      <c r="F4" s="305"/>
      <c r="G4" s="30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310600</v>
      </c>
      <c r="D13" s="34"/>
      <c r="E13" s="35" t="s">
        <v>33</v>
      </c>
      <c r="F13" s="34"/>
      <c r="G13" s="42">
        <v>21776.89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3467</v>
      </c>
      <c r="D15" s="34"/>
      <c r="E15" s="35" t="s">
        <v>10</v>
      </c>
      <c r="F15" s="34"/>
      <c r="G15" s="42">
        <v>2332.9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8457</v>
      </c>
      <c r="D17" s="34"/>
      <c r="E17" s="35" t="s">
        <v>278</v>
      </c>
      <c r="F17" s="34"/>
      <c r="G17" s="42">
        <v>5966.76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150"/>
  <sheetViews>
    <sheetView zoomScale="110" zoomScaleNormal="110" workbookViewId="0">
      <pane ySplit="2" topLeftCell="A24" activePane="bottomLeft" state="frozen"/>
      <selection pane="bottomLeft" activeCell="A38" sqref="A38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547</v>
      </c>
      <c r="D3" s="257"/>
      <c r="E3" s="258"/>
      <c r="F3" s="257">
        <v>793.96</v>
      </c>
      <c r="G3" s="258">
        <v>1624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549</v>
      </c>
      <c r="D4" s="263"/>
      <c r="E4" s="264"/>
      <c r="F4" s="263">
        <v>95.45</v>
      </c>
      <c r="G4" s="264">
        <v>114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551</v>
      </c>
      <c r="D5" s="263"/>
      <c r="E5" s="264"/>
      <c r="F5" s="263">
        <v>42.5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9" customFormat="1" x14ac:dyDescent="0.25">
      <c r="A6" s="260" t="s">
        <v>34</v>
      </c>
      <c r="B6" s="261">
        <v>3039472917</v>
      </c>
      <c r="C6" s="262" t="s">
        <v>548</v>
      </c>
      <c r="D6" s="263"/>
      <c r="E6" s="264"/>
      <c r="F6" s="263">
        <v>128.61000000000001</v>
      </c>
      <c r="G6" s="264">
        <v>184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x14ac:dyDescent="0.25">
      <c r="A7" s="260" t="s">
        <v>37</v>
      </c>
      <c r="B7" s="261">
        <v>4005211270</v>
      </c>
      <c r="C7" s="262" t="s">
        <v>551</v>
      </c>
      <c r="D7" s="263"/>
      <c r="E7" s="264"/>
      <c r="F7" s="263">
        <v>133.44</v>
      </c>
      <c r="G7" s="264">
        <v>195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547</v>
      </c>
      <c r="D8" s="263"/>
      <c r="E8" s="264"/>
      <c r="F8" s="263">
        <v>96.31</v>
      </c>
      <c r="G8" s="264">
        <v>115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552</v>
      </c>
      <c r="D9" s="263"/>
      <c r="E9" s="264"/>
      <c r="F9" s="263">
        <v>94.92</v>
      </c>
      <c r="G9" s="264">
        <v>111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557</v>
      </c>
      <c r="D10" s="263"/>
      <c r="E10" s="264"/>
      <c r="F10" s="263">
        <v>235.04</v>
      </c>
      <c r="G10" s="264">
        <v>413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550</v>
      </c>
      <c r="D11" s="263"/>
      <c r="E11" s="264"/>
      <c r="F11" s="263">
        <v>97.52</v>
      </c>
      <c r="G11" s="264">
        <v>118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552</v>
      </c>
      <c r="D12" s="263"/>
      <c r="E12" s="264"/>
      <c r="F12" s="263">
        <v>54.38</v>
      </c>
      <c r="G12" s="264">
        <v>16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549</v>
      </c>
      <c r="D13" s="263"/>
      <c r="E13" s="264"/>
      <c r="F13" s="263">
        <v>42.5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84" customFormat="1" ht="26.25" x14ac:dyDescent="0.25">
      <c r="A14" s="267" t="s">
        <v>47</v>
      </c>
      <c r="B14" s="268">
        <v>3034878837</v>
      </c>
      <c r="C14" s="245" t="s">
        <v>531</v>
      </c>
      <c r="D14" s="269"/>
      <c r="E14" s="270"/>
      <c r="F14" s="269">
        <v>184.16</v>
      </c>
      <c r="G14" s="270">
        <v>187</v>
      </c>
      <c r="H14" s="269"/>
      <c r="I14" s="270"/>
      <c r="J14" s="245" t="s">
        <v>10</v>
      </c>
      <c r="K14" s="267"/>
      <c r="L14" s="245"/>
      <c r="M14" s="246"/>
      <c r="N14" s="246"/>
    </row>
    <row r="15" spans="1:14" s="149" customFormat="1" x14ac:dyDescent="0.25">
      <c r="A15" s="260" t="s">
        <v>64</v>
      </c>
      <c r="B15" s="261">
        <v>3025670416</v>
      </c>
      <c r="C15" s="262" t="s">
        <v>551</v>
      </c>
      <c r="D15" s="263"/>
      <c r="E15" s="264"/>
      <c r="F15" s="263">
        <v>52.75</v>
      </c>
      <c r="G15" s="264">
        <v>22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549</v>
      </c>
      <c r="D16" s="263"/>
      <c r="E16" s="264"/>
      <c r="F16" s="263">
        <v>192.98</v>
      </c>
      <c r="G16" s="264">
        <v>324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555</v>
      </c>
      <c r="D17" s="263"/>
      <c r="E17" s="264"/>
      <c r="F17" s="263">
        <v>40.9</v>
      </c>
      <c r="G17" s="264">
        <v>35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2" t="s">
        <v>555</v>
      </c>
      <c r="D18" s="263"/>
      <c r="E18" s="264"/>
      <c r="F18" s="263">
        <v>47.48</v>
      </c>
      <c r="G18" s="264">
        <v>9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559</v>
      </c>
      <c r="D20" s="263">
        <v>5201.84</v>
      </c>
      <c r="E20" s="264">
        <v>83400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559</v>
      </c>
      <c r="D21" s="263">
        <v>455.79</v>
      </c>
      <c r="E21" s="264">
        <v>600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559</v>
      </c>
      <c r="D22" s="263">
        <v>31.08</v>
      </c>
      <c r="E22" s="264">
        <v>211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559</v>
      </c>
      <c r="D23" s="263">
        <v>33.119999999999997</v>
      </c>
      <c r="E23" s="264">
        <v>237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559</v>
      </c>
      <c r="D24" s="263">
        <v>27.19</v>
      </c>
      <c r="E24" s="264">
        <v>161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559</v>
      </c>
      <c r="D25" s="263">
        <v>156.52000000000001</v>
      </c>
      <c r="E25" s="264">
        <v>1815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559</v>
      </c>
      <c r="D26" s="263">
        <v>318.07</v>
      </c>
      <c r="E26" s="264">
        <v>3286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560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560</v>
      </c>
      <c r="D28" s="263">
        <v>113.02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560</v>
      </c>
      <c r="D29" s="263">
        <v>48.4</v>
      </c>
      <c r="E29" s="264">
        <v>432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560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564</v>
      </c>
      <c r="D31" s="263">
        <v>286.20999999999998</v>
      </c>
      <c r="E31" s="264">
        <v>2630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564</v>
      </c>
      <c r="D32" s="263">
        <v>22.29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564</v>
      </c>
      <c r="D33" s="263">
        <v>278.64</v>
      </c>
      <c r="E33" s="264">
        <v>2380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564</v>
      </c>
      <c r="D34" s="263">
        <v>14.31</v>
      </c>
      <c r="E34" s="264">
        <v>0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564</v>
      </c>
      <c r="D35" s="263">
        <v>25.19</v>
      </c>
      <c r="E35" s="264">
        <v>142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564</v>
      </c>
      <c r="D36" s="263">
        <v>607.04999999999995</v>
      </c>
      <c r="E36" s="264">
        <v>7200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564</v>
      </c>
      <c r="D37" s="263">
        <v>41.56</v>
      </c>
      <c r="E37" s="264">
        <v>345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564</v>
      </c>
      <c r="D38" s="263">
        <v>22.73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149" customFormat="1" ht="26.25" x14ac:dyDescent="0.25">
      <c r="A39" s="260" t="s">
        <v>254</v>
      </c>
      <c r="B39" s="261">
        <v>4955887</v>
      </c>
      <c r="C39" s="262" t="s">
        <v>564</v>
      </c>
      <c r="D39" s="263">
        <v>25.81</v>
      </c>
      <c r="E39" s="264">
        <v>140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564</v>
      </c>
      <c r="D40" s="263">
        <v>242.86</v>
      </c>
      <c r="E40" s="264">
        <v>2321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545</v>
      </c>
      <c r="D41" s="263">
        <v>22.73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545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545</v>
      </c>
      <c r="D43" s="263">
        <v>1193.99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545</v>
      </c>
      <c r="D44" s="263">
        <v>25.79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546</v>
      </c>
      <c r="D45" s="263">
        <v>300.89999999999998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545</v>
      </c>
      <c r="D46" s="263">
        <v>365.74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545</v>
      </c>
      <c r="D47" s="263">
        <v>446</v>
      </c>
      <c r="E47" s="264">
        <v>4760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545</v>
      </c>
      <c r="D48" s="263">
        <v>416.43</v>
      </c>
      <c r="E48" s="264">
        <v>3656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428</v>
      </c>
      <c r="D49" s="263">
        <v>521.59</v>
      </c>
      <c r="E49" s="264">
        <v>2028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6.25" x14ac:dyDescent="0.25">
      <c r="A50" s="260" t="s">
        <v>48</v>
      </c>
      <c r="B50" s="261">
        <v>5262911</v>
      </c>
      <c r="C50" s="262" t="s">
        <v>545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545</v>
      </c>
      <c r="D51" s="263">
        <v>654.73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545</v>
      </c>
      <c r="D52" s="263">
        <v>22.73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545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545</v>
      </c>
      <c r="D54" s="257">
        <v>1084.29</v>
      </c>
      <c r="E54" s="258">
        <v>115800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545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565</v>
      </c>
      <c r="D56" s="263">
        <v>781.95</v>
      </c>
      <c r="E56" s="264">
        <v>13140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545</v>
      </c>
      <c r="D57" s="263">
        <v>135.97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564</v>
      </c>
      <c r="D58" s="263">
        <v>81.33</v>
      </c>
      <c r="E58" s="264">
        <v>35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149" customFormat="1" ht="26.25" x14ac:dyDescent="0.25">
      <c r="A59" s="260" t="s">
        <v>255</v>
      </c>
      <c r="B59" s="261">
        <v>6973803</v>
      </c>
      <c r="C59" s="262" t="s">
        <v>561</v>
      </c>
      <c r="D59" s="263">
        <v>14.6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564</v>
      </c>
      <c r="D60" s="263">
        <v>767.34</v>
      </c>
      <c r="E60" s="264">
        <v>9787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149" customFormat="1" x14ac:dyDescent="0.25">
      <c r="A61" s="260" t="s">
        <v>253</v>
      </c>
      <c r="B61" s="261">
        <v>4934809</v>
      </c>
      <c r="C61" s="262" t="s">
        <v>561</v>
      </c>
      <c r="D61" s="263">
        <v>28.91</v>
      </c>
      <c r="E61" s="264">
        <v>180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564</v>
      </c>
      <c r="D62" s="263">
        <v>196.16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564</v>
      </c>
      <c r="D63" s="263">
        <v>27.4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564</v>
      </c>
      <c r="D64" s="263">
        <v>14.6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559</v>
      </c>
      <c r="D65" s="263">
        <v>114.55</v>
      </c>
      <c r="E65" s="264">
        <v>249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559</v>
      </c>
      <c r="D66" s="263">
        <v>62.58</v>
      </c>
      <c r="E66" s="264">
        <v>614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559</v>
      </c>
      <c r="D67" s="263">
        <v>37.26</v>
      </c>
      <c r="E67" s="264">
        <v>290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559</v>
      </c>
      <c r="D68" s="263">
        <v>22.75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560</v>
      </c>
      <c r="D69" s="263">
        <v>18.37</v>
      </c>
      <c r="E69" s="264">
        <v>48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560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553</v>
      </c>
      <c r="D72" s="263">
        <v>174</v>
      </c>
      <c r="E72" s="264">
        <v>1609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553</v>
      </c>
      <c r="D73" s="263">
        <v>200</v>
      </c>
      <c r="E73" s="264">
        <v>1758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553</v>
      </c>
      <c r="D74" s="263">
        <v>68</v>
      </c>
      <c r="E74" s="264">
        <v>391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553</v>
      </c>
      <c r="D75" s="263">
        <v>33</v>
      </c>
      <c r="E75" s="264">
        <v>142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553</v>
      </c>
      <c r="D76" s="263">
        <v>26</v>
      </c>
      <c r="E76" s="264">
        <v>71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553</v>
      </c>
      <c r="D77" s="263">
        <v>273</v>
      </c>
      <c r="E77" s="264">
        <v>2517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553</v>
      </c>
      <c r="D78" s="263">
        <v>124</v>
      </c>
      <c r="E78" s="264">
        <v>1093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553</v>
      </c>
      <c r="D79" s="263">
        <v>45</v>
      </c>
      <c r="E79" s="264">
        <v>266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553</v>
      </c>
      <c r="D80" s="263">
        <v>39</v>
      </c>
      <c r="E80" s="264">
        <v>84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553</v>
      </c>
      <c r="D81" s="263">
        <v>19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553</v>
      </c>
      <c r="D82" s="263">
        <v>28</v>
      </c>
      <c r="E82" s="264">
        <v>91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553</v>
      </c>
      <c r="D83" s="263">
        <v>64</v>
      </c>
      <c r="E83" s="264">
        <v>275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553</v>
      </c>
      <c r="D84" s="263">
        <v>1666</v>
      </c>
      <c r="E84" s="264">
        <v>11760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553</v>
      </c>
      <c r="D85" s="263">
        <v>41</v>
      </c>
      <c r="E85" s="264">
        <v>136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553</v>
      </c>
      <c r="D86" s="263">
        <v>38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553</v>
      </c>
      <c r="D87" s="263">
        <v>19</v>
      </c>
      <c r="E87" s="264">
        <v>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556</v>
      </c>
      <c r="D88" s="263">
        <v>39</v>
      </c>
      <c r="E88" s="264">
        <v>114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553</v>
      </c>
      <c r="D89" s="263">
        <v>460</v>
      </c>
      <c r="E89" s="264">
        <v>4200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553</v>
      </c>
      <c r="D90" s="263">
        <v>2286</v>
      </c>
      <c r="E90" s="264">
        <v>5520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553</v>
      </c>
      <c r="D91" s="263">
        <v>428</v>
      </c>
      <c r="E91" s="264">
        <v>2512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553</v>
      </c>
      <c r="D92" s="263">
        <v>103</v>
      </c>
      <c r="E92" s="264">
        <v>389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553</v>
      </c>
      <c r="D93" s="263">
        <v>73</v>
      </c>
      <c r="E93" s="264">
        <v>443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553</v>
      </c>
      <c r="D94" s="263">
        <v>75</v>
      </c>
      <c r="E94" s="264">
        <v>411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553</v>
      </c>
      <c r="D95" s="263">
        <v>36</v>
      </c>
      <c r="E95" s="264">
        <v>175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553</v>
      </c>
      <c r="D97" s="263"/>
      <c r="E97" s="264"/>
      <c r="F97" s="263"/>
      <c r="G97" s="264"/>
      <c r="H97" s="263">
        <v>145.27000000000001</v>
      </c>
      <c r="I97" s="264">
        <v>210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553</v>
      </c>
      <c r="D98" s="263"/>
      <c r="E98" s="264"/>
      <c r="F98" s="263"/>
      <c r="G98" s="264"/>
      <c r="H98" s="263">
        <v>225.67</v>
      </c>
      <c r="I98" s="264">
        <v>327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558</v>
      </c>
      <c r="D99" s="263"/>
      <c r="E99" s="264"/>
      <c r="F99" s="263"/>
      <c r="G99" s="264"/>
      <c r="H99" s="263">
        <v>63.2</v>
      </c>
      <c r="I99" s="264">
        <v>80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553</v>
      </c>
      <c r="D100" s="263"/>
      <c r="E100" s="264"/>
      <c r="F100" s="263"/>
      <c r="G100" s="264"/>
      <c r="H100" s="263">
        <v>31.16</v>
      </c>
      <c r="I100" s="264">
        <v>0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553</v>
      </c>
      <c r="D101" s="263"/>
      <c r="E101" s="264"/>
      <c r="F101" s="263"/>
      <c r="G101" s="264"/>
      <c r="H101" s="263">
        <v>80.37</v>
      </c>
      <c r="I101" s="264">
        <v>110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553</v>
      </c>
      <c r="D102" s="263"/>
      <c r="E102" s="264"/>
      <c r="F102" s="263"/>
      <c r="G102" s="264"/>
      <c r="H102" s="263">
        <v>31.16</v>
      </c>
      <c r="I102" s="264">
        <v>5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553</v>
      </c>
      <c r="D103" s="263"/>
      <c r="E103" s="264"/>
      <c r="F103" s="263"/>
      <c r="G103" s="264"/>
      <c r="H103" s="263">
        <v>71.209999999999994</v>
      </c>
      <c r="I103" s="264">
        <v>95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553</v>
      </c>
      <c r="D104" s="263"/>
      <c r="E104" s="264"/>
      <c r="F104" s="263"/>
      <c r="G104" s="264"/>
      <c r="H104" s="263">
        <v>51.99</v>
      </c>
      <c r="I104" s="264">
        <v>59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553</v>
      </c>
      <c r="D105" s="263"/>
      <c r="E105" s="264"/>
      <c r="F105" s="263"/>
      <c r="G105" s="264"/>
      <c r="H105" s="263">
        <v>179.01</v>
      </c>
      <c r="I105" s="264">
        <v>261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553</v>
      </c>
      <c r="D106" s="263"/>
      <c r="E106" s="264"/>
      <c r="F106" s="263"/>
      <c r="G106" s="264"/>
      <c r="H106" s="263">
        <v>31.16</v>
      </c>
      <c r="I106" s="264">
        <v>19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553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553</v>
      </c>
      <c r="D108" s="286"/>
      <c r="E108" s="287"/>
      <c r="F108" s="286"/>
      <c r="G108" s="287"/>
      <c r="H108" s="286">
        <v>88.81</v>
      </c>
      <c r="I108" s="287">
        <v>123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553</v>
      </c>
      <c r="D109" s="263"/>
      <c r="E109" s="264"/>
      <c r="F109" s="263"/>
      <c r="G109" s="264"/>
      <c r="H109" s="263">
        <v>31.16</v>
      </c>
      <c r="I109" s="264">
        <v>2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553</v>
      </c>
      <c r="D110" s="263"/>
      <c r="E110" s="264"/>
      <c r="F110" s="263"/>
      <c r="G110" s="264"/>
      <c r="H110" s="263">
        <v>35.43</v>
      </c>
      <c r="I110" s="264">
        <v>28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553</v>
      </c>
      <c r="D111" s="263"/>
      <c r="E111" s="264"/>
      <c r="F111" s="263"/>
      <c r="G111" s="264"/>
      <c r="H111" s="263">
        <v>39.17</v>
      </c>
      <c r="I111" s="264">
        <v>35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553</v>
      </c>
      <c r="D112" s="263"/>
      <c r="E112" s="264"/>
      <c r="F112" s="263"/>
      <c r="G112" s="264"/>
      <c r="H112" s="263">
        <v>31.16</v>
      </c>
      <c r="I112" s="264">
        <v>18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553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553</v>
      </c>
      <c r="D114" s="263"/>
      <c r="E114" s="264"/>
      <c r="F114" s="263"/>
      <c r="G114" s="264"/>
      <c r="H114" s="263">
        <v>31.16</v>
      </c>
      <c r="I114" s="264">
        <v>14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553</v>
      </c>
      <c r="D115" s="263"/>
      <c r="E115" s="264"/>
      <c r="F115" s="263"/>
      <c r="G115" s="264"/>
      <c r="H115" s="263">
        <v>31.16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553</v>
      </c>
      <c r="D116" s="263"/>
      <c r="E116" s="264"/>
      <c r="F116" s="263"/>
      <c r="G116" s="264"/>
      <c r="H116" s="263">
        <v>31.16</v>
      </c>
      <c r="I116" s="264">
        <v>6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553</v>
      </c>
      <c r="D117" s="263"/>
      <c r="E117" s="264"/>
      <c r="F117" s="263"/>
      <c r="G117" s="264"/>
      <c r="H117" s="263">
        <v>87.51</v>
      </c>
      <c r="I117" s="264">
        <v>121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553</v>
      </c>
      <c r="D118" s="263"/>
      <c r="E118" s="264"/>
      <c r="F118" s="263"/>
      <c r="G118" s="264"/>
      <c r="H118" s="263">
        <v>48.78</v>
      </c>
      <c r="I118" s="264">
        <v>53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553</v>
      </c>
      <c r="D119" s="263"/>
      <c r="E119" s="264"/>
      <c r="F119" s="263"/>
      <c r="G119" s="264"/>
      <c r="H119" s="263">
        <v>31.16</v>
      </c>
      <c r="I119" s="264">
        <v>18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553</v>
      </c>
      <c r="D120" s="263"/>
      <c r="E120" s="264"/>
      <c r="F120" s="263"/>
      <c r="G120" s="264"/>
      <c r="H120" s="263">
        <v>31.16</v>
      </c>
      <c r="I120" s="264">
        <v>7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553</v>
      </c>
      <c r="D121" s="263"/>
      <c r="E121" s="264"/>
      <c r="F121" s="263"/>
      <c r="G121" s="264"/>
      <c r="H121" s="263">
        <v>31.16</v>
      </c>
      <c r="I121" s="264">
        <v>4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553</v>
      </c>
      <c r="D122" s="263"/>
      <c r="E122" s="264"/>
      <c r="F122" s="263"/>
      <c r="G122" s="264"/>
      <c r="H122" s="263">
        <v>31.16</v>
      </c>
      <c r="I122" s="264">
        <v>0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553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553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553</v>
      </c>
      <c r="D125" s="263"/>
      <c r="E125" s="264"/>
      <c r="F125" s="263"/>
      <c r="G125" s="264"/>
      <c r="H125" s="263">
        <v>42.91</v>
      </c>
      <c r="I125" s="264">
        <v>42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553</v>
      </c>
      <c r="D126" s="263"/>
      <c r="E126" s="264"/>
      <c r="F126" s="263"/>
      <c r="G126" s="264"/>
      <c r="H126" s="263">
        <v>31.16</v>
      </c>
      <c r="I126" s="264">
        <v>17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553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562</v>
      </c>
      <c r="D128" s="263"/>
      <c r="E128" s="264"/>
      <c r="F128" s="263"/>
      <c r="G128" s="264"/>
      <c r="H128" s="263">
        <v>46.65</v>
      </c>
      <c r="I128" s="264">
        <v>49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553</v>
      </c>
      <c r="D129" s="263"/>
      <c r="E129" s="264"/>
      <c r="F129" s="263"/>
      <c r="G129" s="264"/>
      <c r="H129" s="263">
        <v>166.04</v>
      </c>
      <c r="I129" s="264">
        <v>242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562</v>
      </c>
      <c r="D130" s="263"/>
      <c r="E130" s="264"/>
      <c r="F130" s="263"/>
      <c r="G130" s="264"/>
      <c r="H130" s="263">
        <v>1142.5</v>
      </c>
      <c r="I130" s="264">
        <v>1531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562</v>
      </c>
      <c r="D131" s="263"/>
      <c r="E131" s="264"/>
      <c r="F131" s="263"/>
      <c r="G131" s="264"/>
      <c r="H131" s="263">
        <v>38.64</v>
      </c>
      <c r="I131" s="264">
        <v>34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562</v>
      </c>
      <c r="D132" s="263"/>
      <c r="E132" s="264"/>
      <c r="F132" s="263"/>
      <c r="G132" s="264"/>
      <c r="H132" s="263">
        <v>1764.44</v>
      </c>
      <c r="I132" s="264">
        <v>2344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562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562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562</v>
      </c>
      <c r="D135" s="263"/>
      <c r="E135" s="264"/>
      <c r="F135" s="263"/>
      <c r="G135" s="264"/>
      <c r="H135" s="263">
        <v>33.299999999999997</v>
      </c>
      <c r="I135" s="264">
        <v>24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144</v>
      </c>
      <c r="B136" s="261" t="s">
        <v>145</v>
      </c>
      <c r="C136" s="262" t="s">
        <v>563</v>
      </c>
      <c r="D136" s="263"/>
      <c r="E136" s="264"/>
      <c r="F136" s="263"/>
      <c r="G136" s="264"/>
      <c r="H136" s="263">
        <v>309.41000000000003</v>
      </c>
      <c r="I136" s="264">
        <v>442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146</v>
      </c>
      <c r="B137" s="261" t="s">
        <v>147</v>
      </c>
      <c r="C137" s="262" t="s">
        <v>562</v>
      </c>
      <c r="D137" s="263"/>
      <c r="E137" s="264"/>
      <c r="F137" s="263"/>
      <c r="G137" s="264"/>
      <c r="H137" s="263">
        <v>327.01</v>
      </c>
      <c r="I137" s="264">
        <v>465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561</v>
      </c>
      <c r="D138" s="263"/>
      <c r="E138" s="264"/>
      <c r="F138" s="263"/>
      <c r="G138" s="264"/>
      <c r="H138" s="263">
        <v>154.36000000000001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49" customFormat="1" ht="26.25" x14ac:dyDescent="0.25">
      <c r="A140" s="260" t="s">
        <v>107</v>
      </c>
      <c r="B140" s="261">
        <v>67</v>
      </c>
      <c r="C140" s="262" t="s">
        <v>534</v>
      </c>
      <c r="D140" s="263"/>
      <c r="E140" s="264"/>
      <c r="F140" s="263"/>
      <c r="G140" s="264"/>
      <c r="H140" s="263">
        <v>50</v>
      </c>
      <c r="I140" s="264">
        <v>200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109</v>
      </c>
      <c r="B141" s="261">
        <v>95</v>
      </c>
      <c r="C141" s="262" t="s">
        <v>534</v>
      </c>
      <c r="D141" s="263"/>
      <c r="E141" s="264"/>
      <c r="F141" s="263"/>
      <c r="G141" s="264"/>
      <c r="H141" s="263">
        <v>60</v>
      </c>
      <c r="I141" s="264">
        <v>700</v>
      </c>
      <c r="J141" s="262"/>
      <c r="K141" s="260"/>
      <c r="L141" s="262"/>
      <c r="M141" s="265"/>
      <c r="N141" s="265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42436</v>
      </c>
      <c r="D143" s="269"/>
      <c r="E143" s="270"/>
      <c r="F143" s="269"/>
      <c r="G143" s="270"/>
      <c r="H143" s="269">
        <v>60.3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535</v>
      </c>
      <c r="D145" s="263"/>
      <c r="E145" s="264"/>
      <c r="F145" s="263"/>
      <c r="G145" s="264"/>
      <c r="H145" s="263">
        <v>16</v>
      </c>
      <c r="I145" s="264">
        <v>500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84" customFormat="1" ht="26.25" x14ac:dyDescent="0.25">
      <c r="A147" s="267" t="s">
        <v>355</v>
      </c>
      <c r="B147" s="268" t="s">
        <v>356</v>
      </c>
      <c r="C147" s="289" t="s">
        <v>544</v>
      </c>
      <c r="D147" s="269"/>
      <c r="E147" s="270"/>
      <c r="F147" s="269"/>
      <c r="G147" s="270"/>
      <c r="H147" s="269">
        <v>114.83</v>
      </c>
      <c r="I147" s="270">
        <v>215650</v>
      </c>
      <c r="J147" s="245"/>
      <c r="K147" s="267"/>
      <c r="L147" s="245"/>
      <c r="M147" s="246"/>
      <c r="N147" s="246"/>
    </row>
    <row r="148" spans="1:14" s="184" customFormat="1" x14ac:dyDescent="0.25">
      <c r="A148" s="245"/>
      <c r="B148" s="245"/>
      <c r="C148" s="245"/>
      <c r="D148" s="292">
        <f t="shared" ref="D148:I148" si="0">SUM(D2:D145)</f>
        <v>21776.890000000003</v>
      </c>
      <c r="E148" s="270">
        <f t="shared" si="0"/>
        <v>310600</v>
      </c>
      <c r="F148" s="292">
        <f t="shared" si="0"/>
        <v>2332.9</v>
      </c>
      <c r="G148" s="270">
        <f t="shared" si="0"/>
        <v>3467</v>
      </c>
      <c r="H148" s="292">
        <f t="shared" si="0"/>
        <v>5966.7600000000011</v>
      </c>
      <c r="I148" s="270">
        <f t="shared" si="0"/>
        <v>8457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0"/>
  <sheetViews>
    <sheetView workbookViewId="0">
      <selection activeCell="G19" sqref="G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554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99"/>
      <c r="B4" s="300"/>
      <c r="C4" s="300"/>
      <c r="D4" s="300"/>
      <c r="E4" s="300"/>
      <c r="F4" s="300"/>
      <c r="G4" s="30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190707</v>
      </c>
      <c r="D13" s="34"/>
      <c r="E13" s="35" t="s">
        <v>33</v>
      </c>
      <c r="F13" s="34"/>
      <c r="G13" s="42">
        <v>18845.84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5507</v>
      </c>
      <c r="D15" s="34"/>
      <c r="E15" s="35" t="s">
        <v>10</v>
      </c>
      <c r="F15" s="34"/>
      <c r="G15" s="42">
        <v>3393.69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6345</v>
      </c>
      <c r="D17" s="34"/>
      <c r="E17" s="35" t="s">
        <v>278</v>
      </c>
      <c r="F17" s="34"/>
      <c r="G17" s="42">
        <v>4876.7299999999996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150"/>
  <sheetViews>
    <sheetView zoomScale="110" zoomScaleNormal="110" workbookViewId="0">
      <pane ySplit="2" topLeftCell="A63" activePane="bottomLeft" state="frozen"/>
      <selection pane="bottomLeft" activeCell="C18" sqref="C18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532</v>
      </c>
      <c r="D3" s="257"/>
      <c r="E3" s="258"/>
      <c r="F3" s="257">
        <v>880.22</v>
      </c>
      <c r="G3" s="258">
        <v>1680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531</v>
      </c>
      <c r="D4" s="263"/>
      <c r="E4" s="264"/>
      <c r="F4" s="263">
        <v>181.14</v>
      </c>
      <c r="G4" s="264">
        <v>278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531</v>
      </c>
      <c r="D5" s="263"/>
      <c r="E5" s="264"/>
      <c r="F5" s="263">
        <v>42.5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9" customFormat="1" x14ac:dyDescent="0.25">
      <c r="A6" s="260" t="s">
        <v>34</v>
      </c>
      <c r="B6" s="261">
        <v>3039472917</v>
      </c>
      <c r="C6" s="262" t="s">
        <v>527</v>
      </c>
      <c r="D6" s="263"/>
      <c r="E6" s="264"/>
      <c r="F6" s="263">
        <v>255.83</v>
      </c>
      <c r="G6" s="264">
        <v>433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x14ac:dyDescent="0.25">
      <c r="A7" s="260" t="s">
        <v>37</v>
      </c>
      <c r="B7" s="261">
        <v>4005211270</v>
      </c>
      <c r="C7" s="262" t="s">
        <v>513</v>
      </c>
      <c r="D7" s="263"/>
      <c r="E7" s="264"/>
      <c r="F7" s="263">
        <v>233.27</v>
      </c>
      <c r="G7" s="264">
        <v>380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505</v>
      </c>
      <c r="D8" s="263"/>
      <c r="E8" s="264"/>
      <c r="F8" s="263">
        <v>155.31</v>
      </c>
      <c r="G8" s="264">
        <v>237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530</v>
      </c>
      <c r="D9" s="263"/>
      <c r="E9" s="264"/>
      <c r="F9" s="263">
        <v>69.2</v>
      </c>
      <c r="G9" s="264">
        <v>48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536</v>
      </c>
      <c r="D10" s="263"/>
      <c r="E10" s="264"/>
      <c r="F10" s="263">
        <v>340.91</v>
      </c>
      <c r="G10" s="264">
        <v>603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536</v>
      </c>
      <c r="D11" s="263"/>
      <c r="E11" s="264"/>
      <c r="F11" s="263">
        <v>192.44</v>
      </c>
      <c r="G11" s="264">
        <v>303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530</v>
      </c>
      <c r="D12" s="263"/>
      <c r="E12" s="264"/>
      <c r="F12" s="263">
        <v>117.44</v>
      </c>
      <c r="G12" s="264">
        <v>155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531</v>
      </c>
      <c r="D13" s="263"/>
      <c r="E13" s="264"/>
      <c r="F13" s="263">
        <v>47.98</v>
      </c>
      <c r="G13" s="264">
        <v>11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531</v>
      </c>
      <c r="D14" s="263"/>
      <c r="E14" s="264"/>
      <c r="F14" s="263">
        <v>320.26</v>
      </c>
      <c r="G14" s="264">
        <v>557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531</v>
      </c>
      <c r="D15" s="263"/>
      <c r="E15" s="264"/>
      <c r="F15" s="263">
        <v>79.27</v>
      </c>
      <c r="G15" s="264">
        <v>74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531</v>
      </c>
      <c r="D16" s="263"/>
      <c r="E16" s="264"/>
      <c r="F16" s="263">
        <v>328.75</v>
      </c>
      <c r="G16" s="264">
        <v>574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518</v>
      </c>
      <c r="D17" s="263"/>
      <c r="E17" s="264"/>
      <c r="F17" s="263">
        <v>52.19</v>
      </c>
      <c r="G17" s="264">
        <v>56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84" customFormat="1" x14ac:dyDescent="0.25">
      <c r="A18" s="267" t="s">
        <v>68</v>
      </c>
      <c r="B18" s="268">
        <v>3022125841</v>
      </c>
      <c r="C18" s="245" t="s">
        <v>519</v>
      </c>
      <c r="D18" s="269"/>
      <c r="E18" s="270"/>
      <c r="F18" s="269">
        <v>96.98</v>
      </c>
      <c r="G18" s="270">
        <v>115</v>
      </c>
      <c r="H18" s="269"/>
      <c r="I18" s="270"/>
      <c r="J18" s="245" t="s">
        <v>10</v>
      </c>
      <c r="K18" s="267"/>
      <c r="L18" s="245"/>
      <c r="M18" s="246"/>
      <c r="N18" s="246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537</v>
      </c>
      <c r="D20" s="263">
        <v>4419.8100000000004</v>
      </c>
      <c r="E20" s="264">
        <v>70100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537</v>
      </c>
      <c r="D21" s="263">
        <v>63.08</v>
      </c>
      <c r="E21" s="264">
        <v>300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537</v>
      </c>
      <c r="D22" s="263">
        <v>27.37</v>
      </c>
      <c r="E22" s="264">
        <v>164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537</v>
      </c>
      <c r="D23" s="263">
        <v>32.99</v>
      </c>
      <c r="E23" s="264">
        <v>236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537</v>
      </c>
      <c r="D24" s="263">
        <v>30.49</v>
      </c>
      <c r="E24" s="264">
        <v>204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537</v>
      </c>
      <c r="D25" s="263">
        <v>174.65</v>
      </c>
      <c r="E25" s="264">
        <v>2046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539</v>
      </c>
      <c r="D26" s="263">
        <v>313.08</v>
      </c>
      <c r="E26" s="264">
        <v>3210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540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540</v>
      </c>
      <c r="D28" s="263">
        <v>112.85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540</v>
      </c>
      <c r="D29" s="263">
        <v>61.59</v>
      </c>
      <c r="E29" s="264">
        <v>603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540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542</v>
      </c>
      <c r="D31" s="263">
        <v>243.85</v>
      </c>
      <c r="E31" s="264">
        <v>1821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541</v>
      </c>
      <c r="D32" s="263">
        <v>22.29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542</v>
      </c>
      <c r="D33" s="263">
        <v>264.17</v>
      </c>
      <c r="E33" s="264">
        <v>1962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542</v>
      </c>
      <c r="D34" s="263">
        <v>25.93</v>
      </c>
      <c r="E34" s="264">
        <v>152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541</v>
      </c>
      <c r="D35" s="263">
        <v>28.22</v>
      </c>
      <c r="E35" s="264">
        <v>182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542</v>
      </c>
      <c r="D36" s="263">
        <v>587.53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542</v>
      </c>
      <c r="D37" s="263">
        <v>37.74</v>
      </c>
      <c r="E37" s="264">
        <v>297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542</v>
      </c>
      <c r="D38" s="263">
        <v>22.73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149" customFormat="1" ht="26.25" x14ac:dyDescent="0.25">
      <c r="A39" s="260" t="s">
        <v>254</v>
      </c>
      <c r="B39" s="261">
        <v>4955887</v>
      </c>
      <c r="C39" s="262" t="s">
        <v>541</v>
      </c>
      <c r="D39" s="263">
        <v>25.78</v>
      </c>
      <c r="E39" s="264">
        <v>140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542</v>
      </c>
      <c r="D40" s="263">
        <v>192.52</v>
      </c>
      <c r="E40" s="264">
        <v>1531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526</v>
      </c>
      <c r="D41" s="263">
        <v>22.67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526</v>
      </c>
      <c r="D42" s="263">
        <v>16.09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526</v>
      </c>
      <c r="D43" s="263">
        <v>1190.3399999999999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526</v>
      </c>
      <c r="D44" s="263">
        <v>25.74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526</v>
      </c>
      <c r="D45" s="263">
        <v>300.47000000000003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526</v>
      </c>
      <c r="D46" s="263">
        <v>365.02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526</v>
      </c>
      <c r="D47" s="263">
        <v>482.63</v>
      </c>
      <c r="E47" s="264">
        <v>5480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526</v>
      </c>
      <c r="D48" s="263">
        <v>418.34</v>
      </c>
      <c r="E48" s="264">
        <v>4003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84" customFormat="1" ht="26.25" x14ac:dyDescent="0.25">
      <c r="A49" s="267" t="s">
        <v>46</v>
      </c>
      <c r="B49" s="268">
        <v>5027654</v>
      </c>
      <c r="C49" s="245" t="s">
        <v>428</v>
      </c>
      <c r="D49" s="269">
        <v>191.98</v>
      </c>
      <c r="E49" s="270">
        <v>2028</v>
      </c>
      <c r="F49" s="269"/>
      <c r="G49" s="270"/>
      <c r="H49" s="269"/>
      <c r="I49" s="270"/>
      <c r="J49" s="245" t="s">
        <v>33</v>
      </c>
      <c r="K49" s="267"/>
      <c r="L49" s="245"/>
      <c r="M49" s="246" t="s">
        <v>447</v>
      </c>
      <c r="N49" s="246" t="s">
        <v>463</v>
      </c>
    </row>
    <row r="50" spans="1:14" s="149" customFormat="1" ht="26.25" x14ac:dyDescent="0.25">
      <c r="A50" s="260" t="s">
        <v>48</v>
      </c>
      <c r="B50" s="261">
        <v>5262911</v>
      </c>
      <c r="C50" s="262" t="s">
        <v>526</v>
      </c>
      <c r="D50" s="263">
        <v>16.09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526</v>
      </c>
      <c r="D51" s="263">
        <v>653.41999999999996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526</v>
      </c>
      <c r="D52" s="263">
        <v>22.67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526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9" customFormat="1" x14ac:dyDescent="0.25">
      <c r="A54" s="260" t="s">
        <v>240</v>
      </c>
      <c r="B54" s="261">
        <v>5031405</v>
      </c>
      <c r="C54" s="262" t="s">
        <v>526</v>
      </c>
      <c r="D54" s="263">
        <v>1092.25</v>
      </c>
      <c r="E54" s="264">
        <v>11880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526</v>
      </c>
      <c r="D55" s="263">
        <v>18.86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84" customFormat="1" ht="26.25" x14ac:dyDescent="0.25">
      <c r="A56" s="267" t="s">
        <v>30</v>
      </c>
      <c r="B56" s="268">
        <v>4914473</v>
      </c>
      <c r="C56" s="245" t="s">
        <v>401</v>
      </c>
      <c r="D56" s="269">
        <v>825.81</v>
      </c>
      <c r="E56" s="270">
        <v>13140</v>
      </c>
      <c r="F56" s="269"/>
      <c r="G56" s="270"/>
      <c r="H56" s="269"/>
      <c r="I56" s="270"/>
      <c r="J56" s="245" t="s">
        <v>33</v>
      </c>
      <c r="K56" s="267"/>
      <c r="L56" s="245"/>
      <c r="M56" s="246" t="s">
        <v>447</v>
      </c>
      <c r="N56" s="246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526</v>
      </c>
      <c r="D57" s="263">
        <v>135.91999999999999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542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149" customFormat="1" ht="26.25" x14ac:dyDescent="0.25">
      <c r="A59" s="260" t="s">
        <v>255</v>
      </c>
      <c r="B59" s="261">
        <v>6973803</v>
      </c>
      <c r="C59" s="262" t="s">
        <v>541</v>
      </c>
      <c r="D59" s="263">
        <v>14.6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542</v>
      </c>
      <c r="D60" s="263">
        <v>790.54</v>
      </c>
      <c r="E60" s="264">
        <v>10312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149" customFormat="1" x14ac:dyDescent="0.25">
      <c r="A61" s="260" t="s">
        <v>253</v>
      </c>
      <c r="B61" s="261">
        <v>4934809</v>
      </c>
      <c r="C61" s="262" t="s">
        <v>541</v>
      </c>
      <c r="D61" s="263">
        <v>33.58</v>
      </c>
      <c r="E61" s="264">
        <v>240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542</v>
      </c>
      <c r="D62" s="263">
        <v>194.24</v>
      </c>
      <c r="E62" s="264">
        <v>800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542</v>
      </c>
      <c r="D63" s="263">
        <v>27.36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542</v>
      </c>
      <c r="D64" s="263">
        <v>14.6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538</v>
      </c>
      <c r="D65" s="263">
        <v>116.31</v>
      </c>
      <c r="E65" s="264">
        <v>442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538</v>
      </c>
      <c r="D66" s="263">
        <v>96.85</v>
      </c>
      <c r="E66" s="264">
        <v>1056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538</v>
      </c>
      <c r="D67" s="263">
        <v>27.44</v>
      </c>
      <c r="E67" s="264">
        <v>165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538</v>
      </c>
      <c r="D68" s="263">
        <v>22.71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540</v>
      </c>
      <c r="D69" s="263">
        <v>18.5</v>
      </c>
      <c r="E69" s="264">
        <v>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540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534</v>
      </c>
      <c r="D72" s="263">
        <v>166</v>
      </c>
      <c r="E72" s="264">
        <v>1528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534</v>
      </c>
      <c r="D73" s="263">
        <v>194</v>
      </c>
      <c r="E73" s="264">
        <v>1701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 t="s">
        <v>210</v>
      </c>
      <c r="C74" s="266" t="s">
        <v>534</v>
      </c>
      <c r="D74" s="263">
        <v>71</v>
      </c>
      <c r="E74" s="264">
        <v>426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534</v>
      </c>
      <c r="D75" s="263">
        <v>42</v>
      </c>
      <c r="E75" s="264">
        <v>243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534</v>
      </c>
      <c r="D76" s="263">
        <v>25</v>
      </c>
      <c r="E76" s="264">
        <v>66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534</v>
      </c>
      <c r="D77" s="263">
        <v>269</v>
      </c>
      <c r="E77" s="264">
        <v>2483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534</v>
      </c>
      <c r="D78" s="263">
        <v>207</v>
      </c>
      <c r="E78" s="264">
        <v>1962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534</v>
      </c>
      <c r="D79" s="263">
        <v>44</v>
      </c>
      <c r="E79" s="264">
        <v>256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534</v>
      </c>
      <c r="D80" s="263">
        <v>38</v>
      </c>
      <c r="E80" s="264">
        <v>75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534</v>
      </c>
      <c r="D81" s="263">
        <v>19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534</v>
      </c>
      <c r="D82" s="263">
        <v>26</v>
      </c>
      <c r="E82" s="264">
        <v>70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534</v>
      </c>
      <c r="D83" s="263">
        <v>108</v>
      </c>
      <c r="E83" s="264">
        <v>736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534</v>
      </c>
      <c r="D84" s="263">
        <v>1635</v>
      </c>
      <c r="E84" s="264">
        <v>13680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534</v>
      </c>
      <c r="D85" s="263">
        <v>39</v>
      </c>
      <c r="E85" s="264">
        <v>140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534</v>
      </c>
      <c r="D86" s="263">
        <v>38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534</v>
      </c>
      <c r="D87" s="263">
        <v>19</v>
      </c>
      <c r="E87" s="264">
        <v>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534</v>
      </c>
      <c r="D88" s="263">
        <v>30</v>
      </c>
      <c r="E88" s="264">
        <v>63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534</v>
      </c>
      <c r="D89" s="263">
        <v>208</v>
      </c>
      <c r="E89" s="264">
        <v>1500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534</v>
      </c>
      <c r="D90" s="263">
        <v>1072</v>
      </c>
      <c r="E90" s="264">
        <v>2760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534</v>
      </c>
      <c r="D91" s="263">
        <v>431</v>
      </c>
      <c r="E91" s="264">
        <v>2544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534</v>
      </c>
      <c r="D92" s="263">
        <v>105</v>
      </c>
      <c r="E92" s="264">
        <v>419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534</v>
      </c>
      <c r="D93" s="263">
        <v>30</v>
      </c>
      <c r="E93" s="264">
        <v>0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534</v>
      </c>
      <c r="D94" s="263">
        <v>76</v>
      </c>
      <c r="E94" s="264">
        <v>387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534</v>
      </c>
      <c r="D95" s="263">
        <v>35</v>
      </c>
      <c r="E95" s="264">
        <v>170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534</v>
      </c>
      <c r="D97" s="263"/>
      <c r="E97" s="264"/>
      <c r="F97" s="263"/>
      <c r="G97" s="264"/>
      <c r="H97" s="263">
        <v>121.91</v>
      </c>
      <c r="I97" s="264">
        <v>174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534</v>
      </c>
      <c r="D98" s="263"/>
      <c r="E98" s="264"/>
      <c r="F98" s="263"/>
      <c r="G98" s="264"/>
      <c r="H98" s="263">
        <v>189.61</v>
      </c>
      <c r="I98" s="264">
        <v>276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534</v>
      </c>
      <c r="D99" s="263"/>
      <c r="E99" s="264"/>
      <c r="F99" s="263"/>
      <c r="G99" s="264"/>
      <c r="H99" s="263">
        <v>31.16</v>
      </c>
      <c r="I99" s="264">
        <v>17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534</v>
      </c>
      <c r="D100" s="263"/>
      <c r="E100" s="264"/>
      <c r="F100" s="263"/>
      <c r="G100" s="264"/>
      <c r="H100" s="263">
        <v>31.16</v>
      </c>
      <c r="I100" s="264">
        <v>0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534</v>
      </c>
      <c r="D101" s="263"/>
      <c r="E101" s="264"/>
      <c r="F101" s="263"/>
      <c r="G101" s="264"/>
      <c r="H101" s="263">
        <v>68.540000000000006</v>
      </c>
      <c r="I101" s="264">
        <v>90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534</v>
      </c>
      <c r="D102" s="263"/>
      <c r="E102" s="264"/>
      <c r="F102" s="263"/>
      <c r="G102" s="264"/>
      <c r="H102" s="263">
        <v>31.16</v>
      </c>
      <c r="I102" s="264">
        <v>4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534</v>
      </c>
      <c r="D103" s="263"/>
      <c r="E103" s="264"/>
      <c r="F103" s="263"/>
      <c r="G103" s="264"/>
      <c r="H103" s="263">
        <v>47.18</v>
      </c>
      <c r="I103" s="264">
        <v>50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534</v>
      </c>
      <c r="D104" s="263"/>
      <c r="E104" s="264"/>
      <c r="F104" s="263"/>
      <c r="G104" s="264"/>
      <c r="H104" s="263">
        <v>31.16</v>
      </c>
      <c r="I104" s="264">
        <v>1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534</v>
      </c>
      <c r="D105" s="263"/>
      <c r="E105" s="264"/>
      <c r="F105" s="263"/>
      <c r="G105" s="264"/>
      <c r="H105" s="263">
        <v>151.11000000000001</v>
      </c>
      <c r="I105" s="264">
        <v>219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534</v>
      </c>
      <c r="D106" s="263"/>
      <c r="E106" s="264"/>
      <c r="F106" s="263"/>
      <c r="G106" s="264"/>
      <c r="H106" s="263">
        <v>31.16</v>
      </c>
      <c r="I106" s="264">
        <v>8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534</v>
      </c>
      <c r="D107" s="263"/>
      <c r="E107" s="264"/>
      <c r="F107" s="263"/>
      <c r="G107" s="264"/>
      <c r="H107" s="263">
        <v>31.16</v>
      </c>
      <c r="I107" s="264">
        <v>1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534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534</v>
      </c>
      <c r="D109" s="263"/>
      <c r="E109" s="264"/>
      <c r="F109" s="263"/>
      <c r="G109" s="264"/>
      <c r="H109" s="263">
        <v>31.16</v>
      </c>
      <c r="I109" s="264">
        <v>0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534</v>
      </c>
      <c r="D110" s="263"/>
      <c r="E110" s="264"/>
      <c r="F110" s="263"/>
      <c r="G110" s="264"/>
      <c r="H110" s="263">
        <v>31.16</v>
      </c>
      <c r="I110" s="264">
        <v>3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534</v>
      </c>
      <c r="D111" s="263"/>
      <c r="E111" s="264"/>
      <c r="F111" s="263"/>
      <c r="G111" s="264"/>
      <c r="H111" s="263">
        <v>31.16</v>
      </c>
      <c r="I111" s="264">
        <v>3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534</v>
      </c>
      <c r="D112" s="263"/>
      <c r="E112" s="264"/>
      <c r="F112" s="263"/>
      <c r="G112" s="264"/>
      <c r="H112" s="263">
        <v>31.16</v>
      </c>
      <c r="I112" s="264">
        <v>6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534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534</v>
      </c>
      <c r="D114" s="263"/>
      <c r="E114" s="264"/>
      <c r="F114" s="263"/>
      <c r="G114" s="264"/>
      <c r="H114" s="263">
        <v>31.16</v>
      </c>
      <c r="I114" s="264">
        <v>2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534</v>
      </c>
      <c r="D115" s="263"/>
      <c r="E115" s="264"/>
      <c r="F115" s="263"/>
      <c r="G115" s="264"/>
      <c r="H115" s="263">
        <v>31.16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534</v>
      </c>
      <c r="D116" s="263"/>
      <c r="E116" s="264"/>
      <c r="F116" s="263"/>
      <c r="G116" s="264"/>
      <c r="H116" s="263">
        <v>31.16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534</v>
      </c>
      <c r="D117" s="263"/>
      <c r="E117" s="264"/>
      <c r="F117" s="263"/>
      <c r="G117" s="264"/>
      <c r="H117" s="263">
        <v>129.69</v>
      </c>
      <c r="I117" s="264">
        <v>186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534</v>
      </c>
      <c r="D118" s="263"/>
      <c r="E118" s="264"/>
      <c r="F118" s="263"/>
      <c r="G118" s="264"/>
      <c r="H118" s="263">
        <v>31.16</v>
      </c>
      <c r="I118" s="264">
        <v>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534</v>
      </c>
      <c r="D119" s="263"/>
      <c r="E119" s="264"/>
      <c r="F119" s="263"/>
      <c r="G119" s="264"/>
      <c r="H119" s="263">
        <v>31.16</v>
      </c>
      <c r="I119" s="264">
        <v>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534</v>
      </c>
      <c r="D120" s="263"/>
      <c r="E120" s="264"/>
      <c r="F120" s="263"/>
      <c r="G120" s="264"/>
      <c r="H120" s="263">
        <v>31.16</v>
      </c>
      <c r="I120" s="264">
        <v>1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534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534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534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534</v>
      </c>
      <c r="D124" s="263"/>
      <c r="E124" s="264"/>
      <c r="F124" s="263"/>
      <c r="G124" s="264"/>
      <c r="H124" s="263">
        <v>46.74</v>
      </c>
      <c r="I124" s="264">
        <v>0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534</v>
      </c>
      <c r="D125" s="263"/>
      <c r="E125" s="264"/>
      <c r="F125" s="263"/>
      <c r="G125" s="264"/>
      <c r="H125" s="263">
        <v>40.24</v>
      </c>
      <c r="I125" s="264">
        <v>37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46</v>
      </c>
      <c r="B126" s="268" t="s">
        <v>193</v>
      </c>
      <c r="C126" s="245" t="s">
        <v>517</v>
      </c>
      <c r="D126" s="269"/>
      <c r="E126" s="270"/>
      <c r="F126" s="269"/>
      <c r="G126" s="270"/>
      <c r="H126" s="269">
        <v>31.16</v>
      </c>
      <c r="I126" s="270">
        <v>14</v>
      </c>
      <c r="J126" s="245"/>
      <c r="K126" s="267"/>
      <c r="L126" s="245"/>
      <c r="M126" s="246"/>
      <c r="N126" s="246"/>
    </row>
    <row r="127" spans="1:14" s="149" customFormat="1" ht="26.25" x14ac:dyDescent="0.25">
      <c r="A127" s="260" t="s">
        <v>17</v>
      </c>
      <c r="B127" s="261" t="s">
        <v>192</v>
      </c>
      <c r="C127" s="262" t="s">
        <v>534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541</v>
      </c>
      <c r="D128" s="263"/>
      <c r="E128" s="264"/>
      <c r="F128" s="263"/>
      <c r="G128" s="264"/>
      <c r="H128" s="263">
        <v>48.78</v>
      </c>
      <c r="I128" s="264">
        <v>53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534</v>
      </c>
      <c r="D129" s="263"/>
      <c r="E129" s="264"/>
      <c r="F129" s="263"/>
      <c r="G129" s="264"/>
      <c r="H129" s="263">
        <v>144.62</v>
      </c>
      <c r="I129" s="264">
        <v>209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541</v>
      </c>
      <c r="D130" s="263"/>
      <c r="E130" s="264"/>
      <c r="F130" s="263"/>
      <c r="G130" s="264"/>
      <c r="H130" s="263">
        <v>742.4</v>
      </c>
      <c r="I130" s="264">
        <v>1008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541</v>
      </c>
      <c r="D131" s="263"/>
      <c r="E131" s="264"/>
      <c r="F131" s="263"/>
      <c r="G131" s="264"/>
      <c r="H131" s="263">
        <v>31.16</v>
      </c>
      <c r="I131" s="264">
        <v>10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541</v>
      </c>
      <c r="D132" s="263"/>
      <c r="E132" s="264"/>
      <c r="F132" s="263"/>
      <c r="G132" s="264"/>
      <c r="H132" s="263">
        <v>1365.11</v>
      </c>
      <c r="I132" s="264">
        <v>1822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541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541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541</v>
      </c>
      <c r="D135" s="263"/>
      <c r="E135" s="264"/>
      <c r="F135" s="263"/>
      <c r="G135" s="264"/>
      <c r="H135" s="263">
        <v>31.16</v>
      </c>
      <c r="I135" s="264">
        <v>10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144</v>
      </c>
      <c r="B136" s="261" t="s">
        <v>145</v>
      </c>
      <c r="C136" s="262" t="s">
        <v>541</v>
      </c>
      <c r="D136" s="263"/>
      <c r="E136" s="264"/>
      <c r="F136" s="263"/>
      <c r="G136" s="264"/>
      <c r="H136" s="263">
        <v>323.18</v>
      </c>
      <c r="I136" s="264">
        <v>460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146</v>
      </c>
      <c r="B137" s="261" t="s">
        <v>147</v>
      </c>
      <c r="C137" s="262" t="s">
        <v>541</v>
      </c>
      <c r="D137" s="263"/>
      <c r="E137" s="264"/>
      <c r="F137" s="263"/>
      <c r="G137" s="264"/>
      <c r="H137" s="263">
        <v>229</v>
      </c>
      <c r="I137" s="264">
        <v>332</v>
      </c>
      <c r="J137" s="262"/>
      <c r="K137" s="260"/>
      <c r="L137" s="262"/>
      <c r="M137" s="265"/>
      <c r="N137" s="265"/>
    </row>
    <row r="138" spans="1:14" s="184" customFormat="1" x14ac:dyDescent="0.25">
      <c r="A138" s="267" t="s">
        <v>176</v>
      </c>
      <c r="B138" s="268" t="s">
        <v>165</v>
      </c>
      <c r="C138" s="245" t="s">
        <v>446</v>
      </c>
      <c r="D138" s="269"/>
      <c r="E138" s="270"/>
      <c r="F138" s="269"/>
      <c r="G138" s="270"/>
      <c r="H138" s="269">
        <v>201</v>
      </c>
      <c r="I138" s="270">
        <v>294</v>
      </c>
      <c r="J138" s="245"/>
      <c r="K138" s="267"/>
      <c r="L138" s="245"/>
      <c r="M138" s="246"/>
      <c r="N138" s="246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517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517</v>
      </c>
      <c r="D141" s="269"/>
      <c r="E141" s="270"/>
      <c r="F141" s="269"/>
      <c r="G141" s="270"/>
      <c r="H141" s="269">
        <v>60</v>
      </c>
      <c r="I141" s="270">
        <v>300</v>
      </c>
      <c r="J141" s="245"/>
      <c r="K141" s="267"/>
      <c r="L141" s="245"/>
      <c r="M141" s="246"/>
      <c r="N141" s="246"/>
    </row>
    <row r="142" spans="1:14" s="184" customFormat="1" x14ac:dyDescent="0.25">
      <c r="A142" s="240" t="s">
        <v>432</v>
      </c>
      <c r="B142" s="241"/>
      <c r="C142" s="245"/>
      <c r="D142" s="269"/>
      <c r="E142" s="270"/>
      <c r="F142" s="269"/>
      <c r="G142" s="270"/>
      <c r="H142" s="269"/>
      <c r="I142" s="270"/>
      <c r="J142" s="245"/>
      <c r="K142" s="267"/>
      <c r="L142" s="245"/>
      <c r="M142" s="246"/>
      <c r="N142" s="246"/>
    </row>
    <row r="143" spans="1:14" s="149" customFormat="1" ht="26.25" x14ac:dyDescent="0.25">
      <c r="A143" s="260" t="s">
        <v>156</v>
      </c>
      <c r="B143" s="291">
        <v>61</v>
      </c>
      <c r="C143" s="266">
        <v>42436</v>
      </c>
      <c r="D143" s="263"/>
      <c r="E143" s="264"/>
      <c r="F143" s="263"/>
      <c r="G143" s="264"/>
      <c r="H143" s="263">
        <v>60.3</v>
      </c>
      <c r="I143" s="264">
        <v>30</v>
      </c>
      <c r="J143" s="262"/>
      <c r="K143" s="260"/>
      <c r="L143" s="262"/>
      <c r="M143" s="265"/>
      <c r="N143" s="265"/>
    </row>
    <row r="144" spans="1:14" s="184" customFormat="1" ht="26.25" x14ac:dyDescent="0.25">
      <c r="A144" s="244" t="s">
        <v>431</v>
      </c>
      <c r="B144" s="290"/>
      <c r="C144" s="245"/>
      <c r="D144" s="269"/>
      <c r="E144" s="270"/>
      <c r="F144" s="269"/>
      <c r="G144" s="270"/>
      <c r="H144" s="269"/>
      <c r="I144" s="270"/>
      <c r="J144" s="245"/>
      <c r="K144" s="267"/>
      <c r="L144" s="245"/>
      <c r="M144" s="246"/>
      <c r="N144" s="246"/>
    </row>
    <row r="145" spans="1:14" s="149" customFormat="1" ht="39" x14ac:dyDescent="0.25">
      <c r="A145" s="260" t="s">
        <v>40</v>
      </c>
      <c r="B145" s="261">
        <v>95</v>
      </c>
      <c r="C145" s="266" t="s">
        <v>535</v>
      </c>
      <c r="D145" s="263"/>
      <c r="E145" s="264"/>
      <c r="F145" s="263"/>
      <c r="G145" s="264"/>
      <c r="H145" s="263">
        <v>16</v>
      </c>
      <c r="I145" s="264">
        <v>500</v>
      </c>
      <c r="J145" s="262"/>
      <c r="K145" s="260"/>
      <c r="L145" s="262"/>
      <c r="M145" s="265"/>
      <c r="N145" s="265"/>
    </row>
    <row r="146" spans="1:14" s="184" customFormat="1" ht="39" x14ac:dyDescent="0.25">
      <c r="A146" s="244" t="s">
        <v>430</v>
      </c>
      <c r="B146" s="268"/>
      <c r="C146" s="289"/>
      <c r="D146" s="269"/>
      <c r="E146" s="270"/>
      <c r="F146" s="269"/>
      <c r="G146" s="270"/>
      <c r="H146" s="269"/>
      <c r="I146" s="270"/>
      <c r="J146" s="245"/>
      <c r="K146" s="267"/>
      <c r="L146" s="245"/>
      <c r="M146" s="246"/>
      <c r="N146" s="246"/>
    </row>
    <row r="147" spans="1:14" s="149" customFormat="1" ht="26.25" x14ac:dyDescent="0.25">
      <c r="A147" s="260" t="s">
        <v>355</v>
      </c>
      <c r="B147" s="261" t="s">
        <v>356</v>
      </c>
      <c r="C147" s="266" t="s">
        <v>544</v>
      </c>
      <c r="D147" s="263"/>
      <c r="E147" s="264"/>
      <c r="F147" s="263"/>
      <c r="G147" s="264"/>
      <c r="H147" s="263">
        <v>114.83</v>
      </c>
      <c r="I147" s="264">
        <v>215650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18845.840000000004</v>
      </c>
      <c r="E148" s="270">
        <f t="shared" si="0"/>
        <v>190707</v>
      </c>
      <c r="F148" s="292">
        <f t="shared" si="0"/>
        <v>3393.69</v>
      </c>
      <c r="G148" s="270">
        <f t="shared" si="0"/>
        <v>5504</v>
      </c>
      <c r="H148" s="292">
        <f t="shared" si="0"/>
        <v>4876.7300000000005</v>
      </c>
      <c r="I148" s="270">
        <f t="shared" si="0"/>
        <v>6345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20"/>
  <sheetViews>
    <sheetView workbookViewId="0">
      <selection activeCell="D9" sqref="D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533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37"/>
      <c r="B4" s="238"/>
      <c r="C4" s="238"/>
      <c r="D4" s="238"/>
      <c r="E4" s="238"/>
      <c r="F4" s="238"/>
      <c r="G4" s="23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209093</v>
      </c>
      <c r="D13" s="34"/>
      <c r="E13" s="35" t="s">
        <v>33</v>
      </c>
      <c r="F13" s="34"/>
      <c r="G13" s="42">
        <v>20169.490000000002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7776.06</v>
      </c>
      <c r="D15" s="34"/>
      <c r="E15" s="35" t="s">
        <v>10</v>
      </c>
      <c r="F15" s="34"/>
      <c r="G15" s="42">
        <v>6156.53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47521</v>
      </c>
      <c r="D17" s="34"/>
      <c r="E17" s="35" t="s">
        <v>278</v>
      </c>
      <c r="F17" s="34"/>
      <c r="G17" s="42">
        <v>4789.08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150"/>
  <sheetViews>
    <sheetView workbookViewId="0">
      <pane ySplit="2" topLeftCell="A57" activePane="bottomLeft" state="frozen"/>
      <selection pane="bottomLeft" activeCell="D17" sqref="D17"/>
    </sheetView>
  </sheetViews>
  <sheetFormatPr defaultRowHeight="15" x14ac:dyDescent="0.25"/>
  <cols>
    <col min="1" max="1" width="22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3" width="12.7109375" style="147" bestFit="1" customWidth="1"/>
    <col min="14" max="14" width="10.42578125" style="147" bestFit="1" customWidth="1"/>
    <col min="15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99" customFormat="1" x14ac:dyDescent="0.25">
      <c r="A2" s="202" t="s">
        <v>437</v>
      </c>
      <c r="B2" s="203"/>
      <c r="C2" s="194"/>
      <c r="D2" s="195"/>
      <c r="E2" s="196"/>
      <c r="F2" s="195"/>
      <c r="G2" s="196"/>
      <c r="H2" s="195"/>
      <c r="I2" s="196"/>
      <c r="J2" s="194"/>
      <c r="K2" s="197"/>
      <c r="L2" s="198"/>
    </row>
    <row r="3" spans="1:12" s="148" customFormat="1" ht="30" x14ac:dyDescent="0.25">
      <c r="A3" s="153" t="s">
        <v>339</v>
      </c>
      <c r="B3" s="154">
        <v>3038136345</v>
      </c>
      <c r="C3" s="155" t="s">
        <v>520</v>
      </c>
      <c r="D3" s="156"/>
      <c r="E3" s="157"/>
      <c r="F3" s="156">
        <v>2277</v>
      </c>
      <c r="G3" s="157">
        <v>1181.06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512</v>
      </c>
      <c r="D4" s="120"/>
      <c r="E4" s="121"/>
      <c r="F4" s="120">
        <v>416.07</v>
      </c>
      <c r="G4" s="121">
        <v>746</v>
      </c>
      <c r="H4" s="120"/>
      <c r="I4" s="121"/>
      <c r="J4" s="122" t="s">
        <v>10</v>
      </c>
      <c r="K4" s="117"/>
      <c r="L4" s="119"/>
    </row>
    <row r="5" spans="1:12" s="184" customFormat="1" x14ac:dyDescent="0.25">
      <c r="A5" s="188" t="s">
        <v>36</v>
      </c>
      <c r="B5" s="189">
        <v>3039781986</v>
      </c>
      <c r="C5" s="190" t="s">
        <v>438</v>
      </c>
      <c r="D5" s="186"/>
      <c r="E5" s="187"/>
      <c r="F5" s="186">
        <v>42.5</v>
      </c>
      <c r="G5" s="187">
        <v>1</v>
      </c>
      <c r="H5" s="186"/>
      <c r="I5" s="187"/>
      <c r="J5" s="185" t="s">
        <v>10</v>
      </c>
      <c r="K5" s="188"/>
      <c r="L5" s="183"/>
    </row>
    <row r="6" spans="1:12" s="149" customFormat="1" x14ac:dyDescent="0.25">
      <c r="A6" s="117" t="s">
        <v>34</v>
      </c>
      <c r="B6" s="118">
        <v>3039472917</v>
      </c>
      <c r="C6" s="119" t="s">
        <v>528</v>
      </c>
      <c r="D6" s="120"/>
      <c r="E6" s="121"/>
      <c r="F6" s="120">
        <v>255.83</v>
      </c>
      <c r="G6" s="121">
        <v>433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513</v>
      </c>
      <c r="D7" s="120"/>
      <c r="E7" s="121"/>
      <c r="F7" s="120">
        <v>233.27</v>
      </c>
      <c r="G7" s="121">
        <v>380</v>
      </c>
      <c r="H7" s="120"/>
      <c r="I7" s="121"/>
      <c r="J7" s="122" t="s">
        <v>10</v>
      </c>
      <c r="K7" s="117"/>
      <c r="L7" s="119"/>
    </row>
    <row r="8" spans="1:12" s="149" customFormat="1" ht="30" x14ac:dyDescent="0.25">
      <c r="A8" s="117" t="s">
        <v>41</v>
      </c>
      <c r="B8" s="118">
        <v>3044004323</v>
      </c>
      <c r="C8" s="119" t="s">
        <v>505</v>
      </c>
      <c r="D8" s="120"/>
      <c r="E8" s="121"/>
      <c r="F8" s="120">
        <v>155.31</v>
      </c>
      <c r="G8" s="121">
        <v>237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514</v>
      </c>
      <c r="D9" s="120"/>
      <c r="E9" s="121"/>
      <c r="F9" s="120">
        <v>73.099999999999994</v>
      </c>
      <c r="G9" s="121">
        <v>56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512</v>
      </c>
      <c r="D10" s="120"/>
      <c r="E10" s="121"/>
      <c r="F10" s="120">
        <v>536.59</v>
      </c>
      <c r="G10" s="121">
        <v>986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512</v>
      </c>
      <c r="D11" s="120"/>
      <c r="E11" s="121"/>
      <c r="F11" s="120">
        <v>324.13</v>
      </c>
      <c r="G11" s="121">
        <v>562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516</v>
      </c>
      <c r="D12" s="120"/>
      <c r="E12" s="121"/>
      <c r="F12" s="120">
        <v>440.1</v>
      </c>
      <c r="G12" s="121">
        <v>861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512</v>
      </c>
      <c r="D13" s="120"/>
      <c r="E13" s="121"/>
      <c r="F13" s="120">
        <v>59.03</v>
      </c>
      <c r="G13" s="121">
        <v>33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512</v>
      </c>
      <c r="D14" s="120"/>
      <c r="E14" s="121"/>
      <c r="F14" s="120">
        <v>506.72</v>
      </c>
      <c r="G14" s="121">
        <v>927</v>
      </c>
      <c r="H14" s="120"/>
      <c r="I14" s="121"/>
      <c r="J14" s="122" t="s">
        <v>10</v>
      </c>
      <c r="K14" s="117"/>
      <c r="L14" s="119"/>
    </row>
    <row r="15" spans="1:12" s="149" customFormat="1" x14ac:dyDescent="0.25">
      <c r="A15" s="117" t="s">
        <v>64</v>
      </c>
      <c r="B15" s="118">
        <v>3025670416</v>
      </c>
      <c r="C15" s="119" t="s">
        <v>515</v>
      </c>
      <c r="D15" s="120"/>
      <c r="E15" s="121"/>
      <c r="F15" s="120">
        <v>116.8</v>
      </c>
      <c r="G15" s="121">
        <v>148</v>
      </c>
      <c r="H15" s="120"/>
      <c r="I15" s="121"/>
      <c r="J15" s="122" t="s">
        <v>10</v>
      </c>
      <c r="K15" s="117"/>
      <c r="L15" s="119"/>
    </row>
    <row r="16" spans="1:12" s="149" customFormat="1" ht="30" x14ac:dyDescent="0.25">
      <c r="A16" s="117" t="s">
        <v>65</v>
      </c>
      <c r="B16" s="118">
        <v>3023110891</v>
      </c>
      <c r="C16" s="119" t="s">
        <v>512</v>
      </c>
      <c r="D16" s="120"/>
      <c r="E16" s="121"/>
      <c r="F16" s="120">
        <v>570.30999999999995</v>
      </c>
      <c r="G16" s="121">
        <v>1054</v>
      </c>
      <c r="H16" s="120"/>
      <c r="I16" s="121"/>
      <c r="J16" s="122" t="s">
        <v>10</v>
      </c>
      <c r="K16" s="117"/>
      <c r="L16" s="119"/>
    </row>
    <row r="17" spans="1:14" s="149" customFormat="1" ht="30" x14ac:dyDescent="0.25">
      <c r="A17" s="117" t="s">
        <v>69</v>
      </c>
      <c r="B17" s="118">
        <v>3022125574</v>
      </c>
      <c r="C17" s="119" t="s">
        <v>518</v>
      </c>
      <c r="D17" s="120"/>
      <c r="E17" s="121"/>
      <c r="F17" s="120">
        <v>52.19</v>
      </c>
      <c r="G17" s="121">
        <v>56</v>
      </c>
      <c r="H17" s="120"/>
      <c r="I17" s="121"/>
      <c r="J17" s="122" t="s">
        <v>10</v>
      </c>
      <c r="K17" s="117"/>
      <c r="L17" s="119"/>
    </row>
    <row r="18" spans="1:14" s="149" customFormat="1" x14ac:dyDescent="0.25">
      <c r="A18" s="117" t="s">
        <v>68</v>
      </c>
      <c r="B18" s="118">
        <v>3022125841</v>
      </c>
      <c r="C18" s="119" t="s">
        <v>519</v>
      </c>
      <c r="D18" s="120"/>
      <c r="E18" s="121"/>
      <c r="F18" s="120">
        <v>96.98</v>
      </c>
      <c r="G18" s="121">
        <v>115</v>
      </c>
      <c r="H18" s="120"/>
      <c r="I18" s="121"/>
      <c r="J18" s="122" t="s">
        <v>10</v>
      </c>
      <c r="K18" s="117"/>
      <c r="L18" s="119"/>
    </row>
    <row r="19" spans="1:14" s="212" customFormat="1" x14ac:dyDescent="0.25">
      <c r="A19" s="206" t="s">
        <v>436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4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4532.4399999999996</v>
      </c>
      <c r="E20" s="121">
        <v>73500</v>
      </c>
      <c r="F20" s="120"/>
      <c r="G20" s="121"/>
      <c r="H20" s="120"/>
      <c r="I20" s="121"/>
      <c r="J20" s="122" t="s">
        <v>33</v>
      </c>
      <c r="K20" s="117"/>
      <c r="L20" s="119"/>
      <c r="M20" s="149" t="s">
        <v>447</v>
      </c>
      <c r="N20" s="149" t="s">
        <v>490</v>
      </c>
    </row>
    <row r="21" spans="1:14" s="149" customFormat="1" ht="30" x14ac:dyDescent="0.25">
      <c r="A21" s="117" t="s">
        <v>113</v>
      </c>
      <c r="B21" s="118">
        <v>5089282</v>
      </c>
      <c r="C21" s="119" t="s">
        <v>444</v>
      </c>
      <c r="D21" s="120">
        <v>491.41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  <c r="M21" s="149" t="s">
        <v>447</v>
      </c>
      <c r="N21" s="149" t="s">
        <v>481</v>
      </c>
    </row>
    <row r="22" spans="1:14" s="149" customFormat="1" x14ac:dyDescent="0.25">
      <c r="A22" s="117" t="s">
        <v>252</v>
      </c>
      <c r="B22" s="122">
        <v>8239130</v>
      </c>
      <c r="C22" s="119" t="s">
        <v>444</v>
      </c>
      <c r="D22" s="120">
        <v>65.540000000000006</v>
      </c>
      <c r="E22" s="121">
        <v>132</v>
      </c>
      <c r="F22" s="120"/>
      <c r="G22" s="121"/>
      <c r="H22" s="120"/>
      <c r="I22" s="121"/>
      <c r="J22" s="122" t="s">
        <v>33</v>
      </c>
      <c r="K22" s="117"/>
      <c r="L22" s="119"/>
      <c r="M22" s="149" t="s">
        <v>447</v>
      </c>
      <c r="N22" s="149" t="s">
        <v>485</v>
      </c>
    </row>
    <row r="23" spans="1:14" s="149" customFormat="1" x14ac:dyDescent="0.25">
      <c r="A23" s="117" t="s">
        <v>114</v>
      </c>
      <c r="B23" s="118">
        <v>5089344</v>
      </c>
      <c r="C23" s="119" t="s">
        <v>444</v>
      </c>
      <c r="D23" s="120">
        <v>65.09</v>
      </c>
      <c r="E23" s="121">
        <v>257</v>
      </c>
      <c r="F23" s="120"/>
      <c r="G23" s="121"/>
      <c r="H23" s="120"/>
      <c r="I23" s="121"/>
      <c r="J23" s="122" t="s">
        <v>33</v>
      </c>
      <c r="K23" s="117"/>
      <c r="L23" s="119"/>
      <c r="M23" s="149" t="s">
        <v>447</v>
      </c>
      <c r="N23" s="149" t="s">
        <v>483</v>
      </c>
    </row>
    <row r="24" spans="1:14" s="184" customFormat="1" ht="30" x14ac:dyDescent="0.25">
      <c r="A24" s="188" t="s">
        <v>19</v>
      </c>
      <c r="B24" s="189">
        <v>7010755</v>
      </c>
      <c r="C24" s="183" t="s">
        <v>444</v>
      </c>
      <c r="D24" s="186">
        <v>47.4</v>
      </c>
      <c r="E24" s="187">
        <v>427</v>
      </c>
      <c r="F24" s="186"/>
      <c r="G24" s="187"/>
      <c r="H24" s="186"/>
      <c r="I24" s="187"/>
      <c r="J24" s="185" t="s">
        <v>33</v>
      </c>
      <c r="K24" s="188"/>
      <c r="L24" s="183"/>
      <c r="M24" s="184" t="s">
        <v>447</v>
      </c>
      <c r="N24" s="184" t="s">
        <v>498</v>
      </c>
    </row>
    <row r="25" spans="1:14" s="149" customFormat="1" ht="30" x14ac:dyDescent="0.25">
      <c r="A25" s="117" t="s">
        <v>115</v>
      </c>
      <c r="B25" s="118">
        <v>9261200</v>
      </c>
      <c r="C25" s="119" t="s">
        <v>444</v>
      </c>
      <c r="D25" s="120">
        <v>234.96</v>
      </c>
      <c r="E25" s="121">
        <v>2691</v>
      </c>
      <c r="F25" s="120"/>
      <c r="G25" s="121"/>
      <c r="H25" s="120"/>
      <c r="I25" s="121"/>
      <c r="J25" s="122" t="s">
        <v>33</v>
      </c>
      <c r="K25" s="117"/>
      <c r="L25" s="119"/>
      <c r="M25" s="149" t="s">
        <v>447</v>
      </c>
      <c r="N25" s="149" t="s">
        <v>486</v>
      </c>
    </row>
    <row r="26" spans="1:14" s="149" customFormat="1" x14ac:dyDescent="0.25">
      <c r="A26" s="117" t="s">
        <v>116</v>
      </c>
      <c r="B26" s="118">
        <v>5105092</v>
      </c>
      <c r="C26" s="119" t="s">
        <v>444</v>
      </c>
      <c r="D26" s="120">
        <v>382.05</v>
      </c>
      <c r="E26" s="121">
        <v>4479</v>
      </c>
      <c r="F26" s="120"/>
      <c r="G26" s="121"/>
      <c r="H26" s="120"/>
      <c r="I26" s="121"/>
      <c r="J26" s="122" t="s">
        <v>33</v>
      </c>
      <c r="K26" s="117"/>
      <c r="L26" s="119"/>
      <c r="M26" s="149" t="s">
        <v>447</v>
      </c>
      <c r="N26" s="149" t="s">
        <v>487</v>
      </c>
    </row>
    <row r="27" spans="1:14" s="149" customFormat="1" x14ac:dyDescent="0.25">
      <c r="A27" s="117" t="s">
        <v>119</v>
      </c>
      <c r="B27" s="118">
        <v>5074402</v>
      </c>
      <c r="C27" s="119" t="s">
        <v>525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  <c r="M27" s="149" t="s">
        <v>447</v>
      </c>
      <c r="N27" s="149" t="s">
        <v>475</v>
      </c>
    </row>
    <row r="28" spans="1:14" s="149" customFormat="1" x14ac:dyDescent="0.25">
      <c r="A28" s="117" t="s">
        <v>248</v>
      </c>
      <c r="B28" s="118">
        <v>5264802</v>
      </c>
      <c r="C28" s="119" t="s">
        <v>525</v>
      </c>
      <c r="D28" s="120">
        <v>112.71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  <c r="M28" s="149" t="s">
        <v>447</v>
      </c>
      <c r="N28" s="149" t="s">
        <v>476</v>
      </c>
    </row>
    <row r="29" spans="1:14" s="149" customFormat="1" x14ac:dyDescent="0.25">
      <c r="A29" s="117" t="s">
        <v>264</v>
      </c>
      <c r="B29" s="118">
        <v>8234139</v>
      </c>
      <c r="C29" s="138" t="s">
        <v>525</v>
      </c>
      <c r="D29" s="139">
        <v>95.85</v>
      </c>
      <c r="E29" s="121">
        <v>1054</v>
      </c>
      <c r="F29" s="120"/>
      <c r="G29" s="121"/>
      <c r="H29" s="120"/>
      <c r="I29" s="121"/>
      <c r="J29" s="122" t="s">
        <v>33</v>
      </c>
      <c r="K29" s="117"/>
      <c r="L29" s="119"/>
      <c r="M29" s="149" t="s">
        <v>447</v>
      </c>
      <c r="N29" s="149" t="s">
        <v>480</v>
      </c>
    </row>
    <row r="30" spans="1:14" s="149" customFormat="1" x14ac:dyDescent="0.25">
      <c r="A30" s="117" t="s">
        <v>250</v>
      </c>
      <c r="B30" s="118">
        <v>5074495</v>
      </c>
      <c r="C30" s="119" t="s">
        <v>525</v>
      </c>
      <c r="D30" s="120">
        <v>14.6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  <c r="M30" s="149" t="s">
        <v>447</v>
      </c>
      <c r="N30" s="149" t="s">
        <v>479</v>
      </c>
    </row>
    <row r="31" spans="1:14" s="149" customFormat="1" ht="45" x14ac:dyDescent="0.25">
      <c r="A31" s="117" t="s">
        <v>123</v>
      </c>
      <c r="B31" s="118">
        <v>5036644</v>
      </c>
      <c r="C31" s="119" t="s">
        <v>501</v>
      </c>
      <c r="D31" s="120">
        <v>198.12</v>
      </c>
      <c r="E31" s="121">
        <v>917</v>
      </c>
      <c r="F31" s="120"/>
      <c r="G31" s="121"/>
      <c r="H31" s="120"/>
      <c r="I31" s="121"/>
      <c r="J31" s="122" t="s">
        <v>33</v>
      </c>
      <c r="K31" s="117"/>
      <c r="L31" s="119"/>
      <c r="M31" s="149" t="s">
        <v>447</v>
      </c>
      <c r="N31" s="149" t="s">
        <v>454</v>
      </c>
    </row>
    <row r="32" spans="1:14" s="149" customFormat="1" ht="30" x14ac:dyDescent="0.25">
      <c r="A32" s="117" t="s">
        <v>127</v>
      </c>
      <c r="B32" s="118">
        <v>5020429</v>
      </c>
      <c r="C32" s="119" t="s">
        <v>503</v>
      </c>
      <c r="D32" s="120">
        <v>22.02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  <c r="M32" s="149" t="s">
        <v>447</v>
      </c>
      <c r="N32" s="149" t="s">
        <v>471</v>
      </c>
    </row>
    <row r="33" spans="1:14" s="149" customFormat="1" ht="30" x14ac:dyDescent="0.25">
      <c r="A33" s="117" t="s">
        <v>125</v>
      </c>
      <c r="B33" s="118">
        <v>6722734</v>
      </c>
      <c r="C33" s="119" t="s">
        <v>503</v>
      </c>
      <c r="D33" s="120">
        <v>268.61</v>
      </c>
      <c r="E33" s="121">
        <v>2029</v>
      </c>
      <c r="F33" s="120"/>
      <c r="G33" s="121"/>
      <c r="H33" s="120"/>
      <c r="I33" s="121"/>
      <c r="J33" s="122" t="s">
        <v>33</v>
      </c>
      <c r="K33" s="117"/>
      <c r="L33" s="119"/>
      <c r="M33" s="149" t="s">
        <v>447</v>
      </c>
      <c r="N33" s="149" t="s">
        <v>455</v>
      </c>
    </row>
    <row r="34" spans="1:14" s="149" customFormat="1" x14ac:dyDescent="0.25">
      <c r="A34" s="117" t="s">
        <v>126</v>
      </c>
      <c r="B34" s="142">
        <v>5037202</v>
      </c>
      <c r="C34" s="119" t="s">
        <v>499</v>
      </c>
      <c r="D34" s="120">
        <v>616.29</v>
      </c>
      <c r="E34" s="121">
        <v>1956</v>
      </c>
      <c r="F34" s="120"/>
      <c r="G34" s="121"/>
      <c r="H34" s="120"/>
      <c r="I34" s="121"/>
      <c r="J34" s="122" t="s">
        <v>33</v>
      </c>
      <c r="K34" s="117"/>
      <c r="L34" s="119"/>
      <c r="M34" s="149" t="s">
        <v>447</v>
      </c>
      <c r="N34" s="149" t="s">
        <v>452</v>
      </c>
    </row>
    <row r="35" spans="1:14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40.1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  <c r="M35" s="149" t="s">
        <v>447</v>
      </c>
      <c r="N35" s="149" t="s">
        <v>467</v>
      </c>
    </row>
    <row r="36" spans="1:14" s="149" customFormat="1" x14ac:dyDescent="0.25">
      <c r="A36" s="117" t="s">
        <v>37</v>
      </c>
      <c r="B36" s="118">
        <v>5064854</v>
      </c>
      <c r="C36" s="119" t="s">
        <v>501</v>
      </c>
      <c r="D36" s="120">
        <v>650.70000000000005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  <c r="M36" s="149" t="s">
        <v>447</v>
      </c>
      <c r="N36" s="149" t="s">
        <v>448</v>
      </c>
    </row>
    <row r="37" spans="1:14" s="149" customFormat="1" ht="30" x14ac:dyDescent="0.25">
      <c r="A37" s="117" t="s">
        <v>32</v>
      </c>
      <c r="B37" s="118">
        <v>5021826</v>
      </c>
      <c r="C37" s="119" t="s">
        <v>499</v>
      </c>
      <c r="D37" s="120">
        <v>46.64</v>
      </c>
      <c r="E37" s="121">
        <v>418</v>
      </c>
      <c r="F37" s="120"/>
      <c r="G37" s="121"/>
      <c r="H37" s="120"/>
      <c r="I37" s="121"/>
      <c r="J37" s="122" t="s">
        <v>33</v>
      </c>
      <c r="K37" s="117"/>
      <c r="L37" s="119"/>
      <c r="M37" s="149" t="s">
        <v>447</v>
      </c>
      <c r="N37" s="149" t="s">
        <v>491</v>
      </c>
    </row>
    <row r="38" spans="1:14" s="149" customFormat="1" ht="30" x14ac:dyDescent="0.25">
      <c r="A38" s="117" t="s">
        <v>129</v>
      </c>
      <c r="B38" s="118">
        <v>4964784</v>
      </c>
      <c r="C38" s="119" t="s">
        <v>499</v>
      </c>
      <c r="D38" s="120">
        <v>22.46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  <c r="M38" s="149" t="s">
        <v>447</v>
      </c>
      <c r="N38" s="149" t="s">
        <v>453</v>
      </c>
    </row>
    <row r="39" spans="1:14" s="149" customFormat="1" ht="30" x14ac:dyDescent="0.25">
      <c r="A39" s="117" t="s">
        <v>254</v>
      </c>
      <c r="B39" s="118">
        <v>4955887</v>
      </c>
      <c r="C39" s="119" t="s">
        <v>500</v>
      </c>
      <c r="D39" s="120">
        <v>25.55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  <c r="M39" s="149" t="s">
        <v>447</v>
      </c>
      <c r="N39" s="149" t="s">
        <v>451</v>
      </c>
    </row>
    <row r="40" spans="1:14" s="149" customFormat="1" x14ac:dyDescent="0.25">
      <c r="A40" s="117" t="s">
        <v>64</v>
      </c>
      <c r="B40" s="118">
        <v>4932391</v>
      </c>
      <c r="C40" s="119" t="s">
        <v>501</v>
      </c>
      <c r="D40" s="120">
        <v>168.92</v>
      </c>
      <c r="E40" s="121">
        <v>1540</v>
      </c>
      <c r="F40" s="120"/>
      <c r="G40" s="121"/>
      <c r="H40" s="120"/>
      <c r="I40" s="121"/>
      <c r="J40" s="122" t="s">
        <v>33</v>
      </c>
      <c r="K40" s="117"/>
      <c r="L40" s="119"/>
      <c r="M40" s="149" t="s">
        <v>447</v>
      </c>
      <c r="N40" s="149" t="s">
        <v>470</v>
      </c>
    </row>
    <row r="41" spans="1:14" s="149" customFormat="1" ht="30" x14ac:dyDescent="0.25">
      <c r="A41" s="117" t="s">
        <v>28</v>
      </c>
      <c r="B41" s="118">
        <v>5265050</v>
      </c>
      <c r="C41" s="119" t="s">
        <v>510</v>
      </c>
      <c r="D41" s="120">
        <v>22.46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  <c r="M41" s="149" t="s">
        <v>447</v>
      </c>
      <c r="N41" s="149" t="s">
        <v>494</v>
      </c>
    </row>
    <row r="42" spans="1:14" s="149" customFormat="1" ht="30" x14ac:dyDescent="0.25">
      <c r="A42" s="117" t="s">
        <v>29</v>
      </c>
      <c r="B42" s="118">
        <v>5265019</v>
      </c>
      <c r="C42" s="119" t="s">
        <v>510</v>
      </c>
      <c r="D42" s="120">
        <v>16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  <c r="M42" s="149" t="s">
        <v>447</v>
      </c>
      <c r="N42" s="149" t="s">
        <v>495</v>
      </c>
    </row>
    <row r="43" spans="1:14" s="149" customFormat="1" ht="30" x14ac:dyDescent="0.25">
      <c r="A43" s="117" t="s">
        <v>243</v>
      </c>
      <c r="B43" s="118">
        <v>4426005</v>
      </c>
      <c r="C43" s="119" t="s">
        <v>510</v>
      </c>
      <c r="D43" s="120">
        <v>1192.1400000000001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  <c r="M43" s="149" t="s">
        <v>447</v>
      </c>
      <c r="N43" s="149" t="s">
        <v>465</v>
      </c>
    </row>
    <row r="44" spans="1:14" s="149" customFormat="1" ht="30" x14ac:dyDescent="0.25">
      <c r="A44" s="143" t="s">
        <v>22</v>
      </c>
      <c r="B44" s="118">
        <v>5264554</v>
      </c>
      <c r="C44" s="119" t="s">
        <v>510</v>
      </c>
      <c r="D44" s="120">
        <v>25.55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  <c r="M44" s="149" t="s">
        <v>447</v>
      </c>
      <c r="N44" s="149" t="s">
        <v>466</v>
      </c>
    </row>
    <row r="45" spans="1:14" s="149" customFormat="1" ht="30" x14ac:dyDescent="0.25">
      <c r="A45" s="117" t="s">
        <v>241</v>
      </c>
      <c r="B45" s="118">
        <v>4912148</v>
      </c>
      <c r="C45" s="119" t="s">
        <v>510</v>
      </c>
      <c r="D45" s="120">
        <v>298.68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  <c r="M45" s="149" t="s">
        <v>447</v>
      </c>
      <c r="N45" s="149" t="s">
        <v>464</v>
      </c>
    </row>
    <row r="46" spans="1:14" s="149" customFormat="1" ht="30" x14ac:dyDescent="0.25">
      <c r="A46" s="117" t="s">
        <v>242</v>
      </c>
      <c r="B46" s="118">
        <v>4426036</v>
      </c>
      <c r="C46" s="119" t="s">
        <v>510</v>
      </c>
      <c r="D46" s="120">
        <v>362.04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  <c r="M46" s="149" t="s">
        <v>447</v>
      </c>
      <c r="N46" s="149" t="s">
        <v>456</v>
      </c>
    </row>
    <row r="47" spans="1:14" s="149" customFormat="1" x14ac:dyDescent="0.25">
      <c r="A47" s="117" t="s">
        <v>34</v>
      </c>
      <c r="B47" s="118">
        <v>5028615</v>
      </c>
      <c r="C47" s="119" t="s">
        <v>510</v>
      </c>
      <c r="D47" s="120">
        <v>461.26</v>
      </c>
      <c r="E47" s="121">
        <v>4920</v>
      </c>
      <c r="F47" s="120"/>
      <c r="G47" s="121"/>
      <c r="H47" s="120"/>
      <c r="I47" s="121"/>
      <c r="J47" s="122" t="s">
        <v>33</v>
      </c>
      <c r="K47" s="117"/>
      <c r="L47" s="119"/>
      <c r="M47" s="149" t="s">
        <v>447</v>
      </c>
      <c r="N47" s="149" t="s">
        <v>493</v>
      </c>
    </row>
    <row r="48" spans="1:14" s="149" customFormat="1" ht="30" x14ac:dyDescent="0.25">
      <c r="A48" s="117" t="s">
        <v>47</v>
      </c>
      <c r="B48" s="118">
        <v>4914628</v>
      </c>
      <c r="C48" s="138" t="s">
        <v>510</v>
      </c>
      <c r="D48" s="120">
        <v>370.86</v>
      </c>
      <c r="E48" s="121">
        <v>3040</v>
      </c>
      <c r="F48" s="120"/>
      <c r="G48" s="121"/>
      <c r="H48" s="120"/>
      <c r="I48" s="121"/>
      <c r="J48" s="122" t="s">
        <v>33</v>
      </c>
      <c r="K48" s="117"/>
      <c r="L48" s="119"/>
      <c r="M48" s="149" t="s">
        <v>447</v>
      </c>
      <c r="N48" s="149" t="s">
        <v>461</v>
      </c>
    </row>
    <row r="49" spans="1:14" s="184" customFormat="1" ht="30" x14ac:dyDescent="0.25">
      <c r="A49" s="188" t="s">
        <v>46</v>
      </c>
      <c r="B49" s="189">
        <v>5027654</v>
      </c>
      <c r="C49" s="183" t="s">
        <v>428</v>
      </c>
      <c r="D49" s="186">
        <v>191.98</v>
      </c>
      <c r="E49" s="187">
        <v>2028</v>
      </c>
      <c r="F49" s="186"/>
      <c r="G49" s="187"/>
      <c r="H49" s="186"/>
      <c r="I49" s="187"/>
      <c r="J49" s="185" t="s">
        <v>33</v>
      </c>
      <c r="K49" s="188"/>
      <c r="L49" s="183"/>
      <c r="M49" s="184" t="s">
        <v>447</v>
      </c>
      <c r="N49" s="184" t="s">
        <v>463</v>
      </c>
    </row>
    <row r="50" spans="1:14" s="149" customFormat="1" ht="30" x14ac:dyDescent="0.25">
      <c r="A50" s="117" t="s">
        <v>48</v>
      </c>
      <c r="B50" s="118">
        <v>5262911</v>
      </c>
      <c r="C50" s="119" t="s">
        <v>510</v>
      </c>
      <c r="D50" s="120">
        <v>16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  <c r="M50" s="149" t="s">
        <v>447</v>
      </c>
      <c r="N50" s="149" t="s">
        <v>459</v>
      </c>
    </row>
    <row r="51" spans="1:14" s="149" customFormat="1" ht="30" x14ac:dyDescent="0.25">
      <c r="A51" s="117" t="s">
        <v>244</v>
      </c>
      <c r="B51" s="118">
        <v>8184322</v>
      </c>
      <c r="C51" s="119" t="s">
        <v>510</v>
      </c>
      <c r="D51" s="120">
        <v>634.4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  <c r="M51" s="149" t="s">
        <v>447</v>
      </c>
      <c r="N51" s="149" t="s">
        <v>460</v>
      </c>
    </row>
    <row r="52" spans="1:14" s="149" customFormat="1" ht="30" x14ac:dyDescent="0.25">
      <c r="A52" s="117" t="s">
        <v>38</v>
      </c>
      <c r="B52" s="118">
        <v>5231911</v>
      </c>
      <c r="C52" s="119" t="s">
        <v>510</v>
      </c>
      <c r="D52" s="120">
        <v>22.46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  <c r="M52" s="149" t="s">
        <v>447</v>
      </c>
      <c r="N52" s="149" t="s">
        <v>497</v>
      </c>
    </row>
    <row r="53" spans="1:14" s="149" customFormat="1" ht="30" x14ac:dyDescent="0.25">
      <c r="A53" s="117" t="s">
        <v>17</v>
      </c>
      <c r="B53" s="118">
        <v>8934894</v>
      </c>
      <c r="C53" s="119" t="s">
        <v>510</v>
      </c>
      <c r="D53" s="120">
        <v>14.68</v>
      </c>
      <c r="E53" s="121">
        <v>1</v>
      </c>
      <c r="F53" s="120"/>
      <c r="G53" s="121"/>
      <c r="H53" s="120"/>
      <c r="I53" s="121"/>
      <c r="J53" s="122" t="s">
        <v>33</v>
      </c>
      <c r="K53" s="117"/>
      <c r="L53" s="119"/>
      <c r="M53" s="149" t="s">
        <v>447</v>
      </c>
      <c r="N53" s="149" t="s">
        <v>458</v>
      </c>
    </row>
    <row r="54" spans="1:14" s="149" customFormat="1" ht="30" x14ac:dyDescent="0.25">
      <c r="A54" s="117" t="s">
        <v>240</v>
      </c>
      <c r="B54" s="118">
        <v>5031405</v>
      </c>
      <c r="C54" s="119" t="s">
        <v>510</v>
      </c>
      <c r="D54" s="120">
        <v>1301.8699999999999</v>
      </c>
      <c r="E54" s="121">
        <v>15900</v>
      </c>
      <c r="F54" s="120"/>
      <c r="G54" s="121"/>
      <c r="H54" s="120"/>
      <c r="I54" s="121"/>
      <c r="J54" s="122" t="s">
        <v>33</v>
      </c>
      <c r="K54" s="117"/>
      <c r="L54" s="119"/>
      <c r="M54" s="149" t="s">
        <v>447</v>
      </c>
      <c r="N54" s="149" t="s">
        <v>457</v>
      </c>
    </row>
    <row r="55" spans="1:14" s="149" customFormat="1" ht="30" x14ac:dyDescent="0.25">
      <c r="A55" s="117" t="s">
        <v>26</v>
      </c>
      <c r="B55" s="118">
        <v>149091</v>
      </c>
      <c r="C55" s="119" t="s">
        <v>510</v>
      </c>
      <c r="D55" s="120">
        <v>18.73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  <c r="M55" s="149" t="s">
        <v>447</v>
      </c>
      <c r="N55" s="149" t="s">
        <v>496</v>
      </c>
    </row>
    <row r="56" spans="1:14" s="184" customFormat="1" ht="30" x14ac:dyDescent="0.25">
      <c r="A56" s="236" t="s">
        <v>30</v>
      </c>
      <c r="B56" s="189">
        <v>4914473</v>
      </c>
      <c r="C56" s="183" t="s">
        <v>428</v>
      </c>
      <c r="D56" s="186">
        <v>825.81</v>
      </c>
      <c r="E56" s="187">
        <v>13140</v>
      </c>
      <c r="F56" s="186"/>
      <c r="G56" s="187"/>
      <c r="H56" s="186"/>
      <c r="I56" s="187"/>
      <c r="J56" s="185" t="s">
        <v>33</v>
      </c>
      <c r="K56" s="188"/>
      <c r="L56" s="183"/>
      <c r="M56" s="184" t="s">
        <v>447</v>
      </c>
      <c r="N56" s="184" t="s">
        <v>492</v>
      </c>
    </row>
    <row r="57" spans="1:14" s="149" customFormat="1" ht="30" x14ac:dyDescent="0.25">
      <c r="A57" s="117" t="s">
        <v>244</v>
      </c>
      <c r="B57" s="118">
        <v>117936</v>
      </c>
      <c r="C57" s="119" t="s">
        <v>510</v>
      </c>
      <c r="D57" s="120">
        <v>135.11000000000001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  <c r="M57" s="149" t="s">
        <v>447</v>
      </c>
      <c r="N57" s="149" t="s">
        <v>462</v>
      </c>
    </row>
    <row r="58" spans="1:14" s="149" customFormat="1" ht="45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  <c r="M58" s="149" t="s">
        <v>447</v>
      </c>
      <c r="N58" s="149" t="s">
        <v>472</v>
      </c>
    </row>
    <row r="59" spans="1:14" s="149" customFormat="1" ht="30" x14ac:dyDescent="0.25">
      <c r="A59" s="117" t="s">
        <v>255</v>
      </c>
      <c r="B59" s="118">
        <v>6973803</v>
      </c>
      <c r="C59" s="119" t="s">
        <v>500</v>
      </c>
      <c r="D59" s="120">
        <v>16.05</v>
      </c>
      <c r="E59" s="121">
        <v>19</v>
      </c>
      <c r="F59" s="120"/>
      <c r="G59" s="121"/>
      <c r="H59" s="120"/>
      <c r="I59" s="121"/>
      <c r="J59" s="122" t="s">
        <v>33</v>
      </c>
      <c r="K59" s="117"/>
      <c r="L59" s="119"/>
      <c r="M59" s="149" t="s">
        <v>447</v>
      </c>
      <c r="N59" s="149" t="s">
        <v>450</v>
      </c>
    </row>
    <row r="60" spans="1:14" s="149" customFormat="1" ht="30" x14ac:dyDescent="0.25">
      <c r="A60" s="117" t="s">
        <v>150</v>
      </c>
      <c r="B60" s="118">
        <v>7480591</v>
      </c>
      <c r="C60" s="119" t="s">
        <v>501</v>
      </c>
      <c r="D60" s="120">
        <v>827.92</v>
      </c>
      <c r="E60" s="121">
        <v>11041</v>
      </c>
      <c r="F60" s="120"/>
      <c r="G60" s="121"/>
      <c r="H60" s="120"/>
      <c r="I60" s="121"/>
      <c r="J60" s="122" t="s">
        <v>33</v>
      </c>
      <c r="K60" s="117"/>
      <c r="L60" s="119"/>
      <c r="M60" s="149" t="s">
        <v>447</v>
      </c>
      <c r="N60" s="149" t="s">
        <v>468</v>
      </c>
    </row>
    <row r="61" spans="1:14" s="149" customFormat="1" x14ac:dyDescent="0.25">
      <c r="A61" s="117" t="s">
        <v>253</v>
      </c>
      <c r="B61" s="118">
        <v>4934809</v>
      </c>
      <c r="C61" s="119" t="s">
        <v>422</v>
      </c>
      <c r="D61" s="120">
        <v>51.96</v>
      </c>
      <c r="E61" s="121">
        <v>480</v>
      </c>
      <c r="F61" s="120"/>
      <c r="G61" s="121"/>
      <c r="H61" s="120"/>
      <c r="I61" s="121"/>
      <c r="J61" s="122" t="s">
        <v>33</v>
      </c>
      <c r="K61" s="117"/>
      <c r="L61" s="119"/>
      <c r="M61" s="149" t="s">
        <v>447</v>
      </c>
      <c r="N61" s="149" t="s">
        <v>449</v>
      </c>
    </row>
    <row r="62" spans="1:14" s="149" customFormat="1" ht="30" x14ac:dyDescent="0.25">
      <c r="A62" s="117" t="s">
        <v>152</v>
      </c>
      <c r="B62" s="118">
        <v>9498071</v>
      </c>
      <c r="C62" s="119" t="s">
        <v>446</v>
      </c>
      <c r="D62" s="120">
        <v>160.46</v>
      </c>
      <c r="E62" s="121">
        <v>480</v>
      </c>
      <c r="F62" s="120"/>
      <c r="G62" s="121"/>
      <c r="H62" s="120"/>
      <c r="I62" s="121"/>
      <c r="J62" s="122" t="s">
        <v>33</v>
      </c>
      <c r="K62" s="117"/>
      <c r="L62" s="119"/>
      <c r="M62" s="149" t="s">
        <v>447</v>
      </c>
      <c r="N62" s="149" t="s">
        <v>469</v>
      </c>
    </row>
    <row r="63" spans="1:14" s="149" customFormat="1" ht="30" x14ac:dyDescent="0.25">
      <c r="A63" s="117" t="s">
        <v>245</v>
      </c>
      <c r="B63" s="118">
        <v>4962800</v>
      </c>
      <c r="C63" s="119" t="s">
        <v>501</v>
      </c>
      <c r="D63" s="120">
        <v>27.1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  <c r="M63" s="149" t="s">
        <v>447</v>
      </c>
      <c r="N63" s="149" t="s">
        <v>473</v>
      </c>
    </row>
    <row r="64" spans="1:14" s="149" customFormat="1" ht="30" x14ac:dyDescent="0.25">
      <c r="A64" s="117" t="s">
        <v>151</v>
      </c>
      <c r="B64" s="118">
        <v>710315</v>
      </c>
      <c r="C64" s="119" t="s">
        <v>504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  <c r="M64" s="149" t="s">
        <v>447</v>
      </c>
      <c r="N64" s="149" t="s">
        <v>474</v>
      </c>
    </row>
    <row r="65" spans="1:14" s="149" customFormat="1" ht="30" x14ac:dyDescent="0.25">
      <c r="A65" s="117" t="s">
        <v>24</v>
      </c>
      <c r="B65" s="118">
        <v>4892432</v>
      </c>
      <c r="C65" s="119" t="s">
        <v>502</v>
      </c>
      <c r="D65" s="120">
        <v>231.95</v>
      </c>
      <c r="E65" s="121">
        <v>734</v>
      </c>
      <c r="F65" s="120"/>
      <c r="G65" s="121"/>
      <c r="H65" s="120"/>
      <c r="I65" s="121"/>
      <c r="J65" s="122" t="s">
        <v>33</v>
      </c>
      <c r="K65" s="117"/>
      <c r="L65" s="119"/>
      <c r="M65" s="149" t="s">
        <v>447</v>
      </c>
      <c r="N65" s="149" t="s">
        <v>484</v>
      </c>
    </row>
    <row r="66" spans="1:14" s="149" customFormat="1" x14ac:dyDescent="0.25">
      <c r="A66" s="117" t="s">
        <v>21</v>
      </c>
      <c r="B66" s="118">
        <v>4968878</v>
      </c>
      <c r="C66" s="119" t="s">
        <v>502</v>
      </c>
      <c r="D66" s="120">
        <v>67.37</v>
      </c>
      <c r="E66" s="121">
        <v>687</v>
      </c>
      <c r="F66" s="120"/>
      <c r="G66" s="121"/>
      <c r="H66" s="120"/>
      <c r="I66" s="121"/>
      <c r="J66" s="122" t="s">
        <v>33</v>
      </c>
      <c r="K66" s="117"/>
      <c r="L66" s="119"/>
      <c r="M66" s="149" t="s">
        <v>447</v>
      </c>
      <c r="N66" s="149" t="s">
        <v>482</v>
      </c>
    </row>
    <row r="67" spans="1:14" s="149" customFormat="1" ht="30" x14ac:dyDescent="0.25">
      <c r="A67" s="117" t="s">
        <v>31</v>
      </c>
      <c r="B67" s="118">
        <v>5041139</v>
      </c>
      <c r="C67" s="119" t="s">
        <v>502</v>
      </c>
      <c r="D67" s="120">
        <v>58.61</v>
      </c>
      <c r="E67" s="121">
        <v>573</v>
      </c>
      <c r="F67" s="120"/>
      <c r="G67" s="121"/>
      <c r="H67" s="120"/>
      <c r="I67" s="121"/>
      <c r="J67" s="122" t="s">
        <v>33</v>
      </c>
      <c r="K67" s="117"/>
      <c r="L67" s="119"/>
      <c r="M67" s="149" t="s">
        <v>447</v>
      </c>
      <c r="N67" s="149" t="s">
        <v>488</v>
      </c>
    </row>
    <row r="68" spans="1:14" s="149" customFormat="1" ht="30" x14ac:dyDescent="0.25">
      <c r="A68" s="117" t="s">
        <v>256</v>
      </c>
      <c r="B68" s="118">
        <v>5276024</v>
      </c>
      <c r="C68" s="119" t="s">
        <v>502</v>
      </c>
      <c r="D68" s="120">
        <v>22.46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  <c r="M68" s="149" t="s">
        <v>447</v>
      </c>
      <c r="N68" s="149" t="s">
        <v>489</v>
      </c>
    </row>
    <row r="69" spans="1:14" s="149" customFormat="1" x14ac:dyDescent="0.25">
      <c r="A69" s="117" t="s">
        <v>250</v>
      </c>
      <c r="B69" s="140">
        <v>7391</v>
      </c>
      <c r="C69" s="119" t="s">
        <v>525</v>
      </c>
      <c r="D69" s="120">
        <v>19</v>
      </c>
      <c r="E69" s="121">
        <v>57</v>
      </c>
      <c r="F69" s="120"/>
      <c r="G69" s="121"/>
      <c r="H69" s="120"/>
      <c r="I69" s="121"/>
      <c r="J69" s="122" t="s">
        <v>33</v>
      </c>
      <c r="K69" s="117"/>
      <c r="L69" s="119"/>
      <c r="M69" s="149" t="s">
        <v>447</v>
      </c>
      <c r="N69" s="149" t="s">
        <v>477</v>
      </c>
    </row>
    <row r="70" spans="1:14" s="149" customFormat="1" x14ac:dyDescent="0.25">
      <c r="A70" s="117" t="s">
        <v>250</v>
      </c>
      <c r="B70" s="140">
        <v>7422</v>
      </c>
      <c r="C70" s="119" t="s">
        <v>525</v>
      </c>
      <c r="D70" s="120">
        <v>14.6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  <c r="M70" s="149" t="s">
        <v>447</v>
      </c>
      <c r="N70" s="149" t="s">
        <v>478</v>
      </c>
    </row>
    <row r="71" spans="1:14" s="199" customFormat="1" ht="45" x14ac:dyDescent="0.25">
      <c r="A71" s="192" t="s">
        <v>435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4" s="149" customFormat="1" ht="45" x14ac:dyDescent="0.25">
      <c r="A72" s="117" t="s">
        <v>51</v>
      </c>
      <c r="B72" s="118" t="s">
        <v>208</v>
      </c>
      <c r="C72" s="138" t="s">
        <v>517</v>
      </c>
      <c r="D72" s="120">
        <v>191</v>
      </c>
      <c r="E72" s="121">
        <v>1772</v>
      </c>
      <c r="F72" s="120"/>
      <c r="G72" s="121"/>
      <c r="H72" s="120"/>
      <c r="I72" s="121"/>
      <c r="J72" s="122" t="s">
        <v>33</v>
      </c>
      <c r="K72" s="117"/>
      <c r="L72" s="119"/>
    </row>
    <row r="73" spans="1:14" s="149" customFormat="1" ht="45" x14ac:dyDescent="0.25">
      <c r="A73" s="117" t="s">
        <v>52</v>
      </c>
      <c r="B73" s="118" t="s">
        <v>209</v>
      </c>
      <c r="C73" s="138" t="s">
        <v>517</v>
      </c>
      <c r="D73" s="120">
        <v>192</v>
      </c>
      <c r="E73" s="121">
        <v>1662</v>
      </c>
      <c r="F73" s="120"/>
      <c r="G73" s="121"/>
      <c r="H73" s="120"/>
      <c r="I73" s="121"/>
      <c r="J73" s="122" t="s">
        <v>33</v>
      </c>
      <c r="K73" s="117"/>
      <c r="L73" s="119"/>
    </row>
    <row r="74" spans="1:14" s="149" customFormat="1" ht="45" x14ac:dyDescent="0.25">
      <c r="A74" s="117" t="s">
        <v>54</v>
      </c>
      <c r="B74" s="118" t="s">
        <v>210</v>
      </c>
      <c r="C74" s="138" t="s">
        <v>517</v>
      </c>
      <c r="D74" s="120">
        <v>102</v>
      </c>
      <c r="E74" s="121">
        <v>739</v>
      </c>
      <c r="F74" s="120"/>
      <c r="G74" s="121"/>
      <c r="H74" s="120"/>
      <c r="I74" s="121"/>
      <c r="J74" s="122" t="s">
        <v>33</v>
      </c>
      <c r="K74" s="117"/>
      <c r="L74" s="119"/>
    </row>
    <row r="75" spans="1:14" s="149" customFormat="1" ht="30" x14ac:dyDescent="0.25">
      <c r="A75" s="117" t="s">
        <v>55</v>
      </c>
      <c r="B75" s="118" t="s">
        <v>212</v>
      </c>
      <c r="C75" s="138" t="s">
        <v>517</v>
      </c>
      <c r="D75" s="120">
        <v>36</v>
      </c>
      <c r="E75" s="121">
        <v>173</v>
      </c>
      <c r="F75" s="120"/>
      <c r="G75" s="121"/>
      <c r="H75" s="120"/>
      <c r="I75" s="121"/>
      <c r="J75" s="122" t="s">
        <v>33</v>
      </c>
      <c r="K75" s="117"/>
      <c r="L75" s="119"/>
    </row>
    <row r="76" spans="1:14" s="149" customFormat="1" ht="30" x14ac:dyDescent="0.25">
      <c r="A76" s="117" t="s">
        <v>56</v>
      </c>
      <c r="B76" s="118" t="s">
        <v>213</v>
      </c>
      <c r="C76" s="138" t="s">
        <v>517</v>
      </c>
      <c r="D76" s="120">
        <v>26</v>
      </c>
      <c r="E76" s="121">
        <v>71</v>
      </c>
      <c r="F76" s="120"/>
      <c r="G76" s="121"/>
      <c r="H76" s="120"/>
      <c r="I76" s="121"/>
      <c r="J76" s="122" t="s">
        <v>33</v>
      </c>
      <c r="K76" s="117"/>
      <c r="L76" s="119"/>
    </row>
    <row r="77" spans="1:14" s="149" customFormat="1" ht="45" x14ac:dyDescent="0.25">
      <c r="A77" s="117" t="s">
        <v>57</v>
      </c>
      <c r="B77" s="118" t="s">
        <v>214</v>
      </c>
      <c r="C77" s="138" t="s">
        <v>517</v>
      </c>
      <c r="D77" s="120">
        <v>309</v>
      </c>
      <c r="E77" s="121">
        <v>2860</v>
      </c>
      <c r="F77" s="120"/>
      <c r="G77" s="121"/>
      <c r="H77" s="120"/>
      <c r="I77" s="121"/>
      <c r="J77" s="122" t="s">
        <v>33</v>
      </c>
      <c r="K77" s="117"/>
      <c r="L77" s="119"/>
    </row>
    <row r="78" spans="1:14" s="149" customFormat="1" ht="30" x14ac:dyDescent="0.25">
      <c r="A78" s="117" t="s">
        <v>58</v>
      </c>
      <c r="B78" s="118" t="s">
        <v>215</v>
      </c>
      <c r="C78" s="138" t="s">
        <v>517</v>
      </c>
      <c r="D78" s="120">
        <v>390</v>
      </c>
      <c r="E78" s="121">
        <v>3817</v>
      </c>
      <c r="F78" s="120"/>
      <c r="G78" s="121"/>
      <c r="H78" s="120"/>
      <c r="I78" s="121"/>
      <c r="J78" s="122" t="s">
        <v>33</v>
      </c>
      <c r="K78" s="117"/>
      <c r="L78" s="119"/>
    </row>
    <row r="79" spans="1:14" s="149" customFormat="1" ht="30" x14ac:dyDescent="0.25">
      <c r="A79" s="117" t="s">
        <v>59</v>
      </c>
      <c r="B79" s="118" t="s">
        <v>216</v>
      </c>
      <c r="C79" s="138" t="s">
        <v>517</v>
      </c>
      <c r="D79" s="120">
        <v>48</v>
      </c>
      <c r="E79" s="121">
        <v>294</v>
      </c>
      <c r="F79" s="120"/>
      <c r="G79" s="121"/>
      <c r="H79" s="120"/>
      <c r="I79" s="121"/>
      <c r="J79" s="122" t="s">
        <v>33</v>
      </c>
      <c r="K79" s="117"/>
      <c r="L79" s="119"/>
    </row>
    <row r="80" spans="1:14" s="149" customFormat="1" ht="30" x14ac:dyDescent="0.25">
      <c r="A80" s="117" t="s">
        <v>60</v>
      </c>
      <c r="B80" s="118" t="s">
        <v>217</v>
      </c>
      <c r="C80" s="138" t="s">
        <v>517</v>
      </c>
      <c r="D80" s="120">
        <v>39</v>
      </c>
      <c r="E80" s="121">
        <v>91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517</v>
      </c>
      <c r="D81" s="120">
        <v>19</v>
      </c>
      <c r="E81" s="121">
        <v>2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30" x14ac:dyDescent="0.25">
      <c r="A82" s="117" t="s">
        <v>62</v>
      </c>
      <c r="B82" s="118" t="s">
        <v>219</v>
      </c>
      <c r="C82" s="138" t="s">
        <v>517</v>
      </c>
      <c r="D82" s="120">
        <v>42</v>
      </c>
      <c r="E82" s="121">
        <v>39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x14ac:dyDescent="0.25">
      <c r="A83" s="117" t="s">
        <v>94</v>
      </c>
      <c r="B83" s="118" t="s">
        <v>201</v>
      </c>
      <c r="C83" s="119" t="s">
        <v>517</v>
      </c>
      <c r="D83" s="120">
        <v>67</v>
      </c>
      <c r="E83" s="121">
        <v>301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517</v>
      </c>
      <c r="D84" s="120">
        <v>1510</v>
      </c>
      <c r="E84" s="121">
        <v>17880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517</v>
      </c>
      <c r="D85" s="120">
        <v>41</v>
      </c>
      <c r="E85" s="121">
        <v>233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517</v>
      </c>
      <c r="D86" s="120">
        <v>38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517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521</v>
      </c>
      <c r="D88" s="120">
        <v>30</v>
      </c>
      <c r="E88" s="121">
        <v>20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517</v>
      </c>
      <c r="D89" s="120">
        <v>239</v>
      </c>
      <c r="E89" s="121">
        <v>1800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517</v>
      </c>
      <c r="D90" s="120">
        <v>761</v>
      </c>
      <c r="E90" s="121">
        <v>3000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517</v>
      </c>
      <c r="D91" s="120">
        <v>504.08</v>
      </c>
      <c r="E91" s="121">
        <v>2896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517</v>
      </c>
      <c r="D92" s="120">
        <v>105</v>
      </c>
      <c r="E92" s="121">
        <v>405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517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517</v>
      </c>
      <c r="D94" s="120">
        <v>74</v>
      </c>
      <c r="E94" s="121">
        <v>387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517</v>
      </c>
      <c r="D95" s="120">
        <v>36</v>
      </c>
      <c r="E95" s="121">
        <v>176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434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522</v>
      </c>
      <c r="D97" s="120"/>
      <c r="E97" s="121"/>
      <c r="F97" s="120"/>
      <c r="G97" s="121"/>
      <c r="H97" s="120">
        <v>110.87</v>
      </c>
      <c r="I97" s="121">
        <v>157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517</v>
      </c>
      <c r="D98" s="120"/>
      <c r="E98" s="121"/>
      <c r="F98" s="120"/>
      <c r="G98" s="121"/>
      <c r="H98" s="120">
        <v>117.36</v>
      </c>
      <c r="I98" s="121">
        <v>167</v>
      </c>
      <c r="J98" s="122"/>
      <c r="K98" s="117"/>
      <c r="L98" s="119"/>
    </row>
    <row r="99" spans="1:12" s="149" customFormat="1" x14ac:dyDescent="0.25">
      <c r="A99" s="117" t="s">
        <v>71</v>
      </c>
      <c r="B99" s="118" t="s">
        <v>188</v>
      </c>
      <c r="C99" s="119" t="s">
        <v>517</v>
      </c>
      <c r="D99" s="120"/>
      <c r="E99" s="121"/>
      <c r="F99" s="120"/>
      <c r="G99" s="121"/>
      <c r="H99" s="120">
        <v>31.16</v>
      </c>
      <c r="I99" s="121">
        <v>3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517</v>
      </c>
      <c r="D100" s="120"/>
      <c r="E100" s="121"/>
      <c r="F100" s="120"/>
      <c r="G100" s="121"/>
      <c r="H100" s="120">
        <v>31.16</v>
      </c>
      <c r="I100" s="121">
        <v>0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517</v>
      </c>
      <c r="D101" s="120"/>
      <c r="E101" s="121"/>
      <c r="F101" s="120"/>
      <c r="G101" s="121"/>
      <c r="H101" s="120">
        <v>49.32</v>
      </c>
      <c r="I101" s="121">
        <v>54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517</v>
      </c>
      <c r="D102" s="120"/>
      <c r="E102" s="121"/>
      <c r="F102" s="120"/>
      <c r="G102" s="121"/>
      <c r="H102" s="120">
        <v>31.16</v>
      </c>
      <c r="I102" s="121">
        <v>6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517</v>
      </c>
      <c r="D103" s="120"/>
      <c r="E103" s="121"/>
      <c r="F103" s="120"/>
      <c r="G103" s="121"/>
      <c r="H103" s="120">
        <v>48.78</v>
      </c>
      <c r="I103" s="121">
        <v>53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517</v>
      </c>
      <c r="D104" s="120"/>
      <c r="E104" s="121"/>
      <c r="F104" s="120"/>
      <c r="G104" s="121"/>
      <c r="H104" s="120">
        <v>31.16</v>
      </c>
      <c r="I104" s="121">
        <v>11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517</v>
      </c>
      <c r="D105" s="120"/>
      <c r="E105" s="121"/>
      <c r="F105" s="120"/>
      <c r="G105" s="121"/>
      <c r="H105" s="120">
        <v>97.89</v>
      </c>
      <c r="I105" s="121">
        <v>137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517</v>
      </c>
      <c r="D106" s="120"/>
      <c r="E106" s="121"/>
      <c r="F106" s="120"/>
      <c r="G106" s="121"/>
      <c r="H106" s="120">
        <v>31.16</v>
      </c>
      <c r="I106" s="121">
        <v>6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517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517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517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517</v>
      </c>
      <c r="D110" s="120"/>
      <c r="E110" s="121"/>
      <c r="F110" s="120"/>
      <c r="G110" s="121"/>
      <c r="H110" s="120">
        <v>31.16</v>
      </c>
      <c r="I110" s="121">
        <v>2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517</v>
      </c>
      <c r="D111" s="120"/>
      <c r="E111" s="121"/>
      <c r="F111" s="120"/>
      <c r="G111" s="121"/>
      <c r="H111" s="120">
        <v>31.16</v>
      </c>
      <c r="I111" s="121">
        <v>1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517</v>
      </c>
      <c r="D112" s="120"/>
      <c r="E112" s="121"/>
      <c r="F112" s="120"/>
      <c r="G112" s="121"/>
      <c r="H112" s="120">
        <v>31.16</v>
      </c>
      <c r="I112" s="121">
        <v>3</v>
      </c>
      <c r="J112" s="122"/>
      <c r="K112" s="117"/>
      <c r="L112" s="119"/>
    </row>
    <row r="113" spans="1:12" s="149" customFormat="1" x14ac:dyDescent="0.25">
      <c r="A113" s="117" t="s">
        <v>85</v>
      </c>
      <c r="B113" s="118" t="s">
        <v>184</v>
      </c>
      <c r="C113" s="119" t="s">
        <v>517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517</v>
      </c>
      <c r="D114" s="120"/>
      <c r="E114" s="121"/>
      <c r="F114" s="120"/>
      <c r="G114" s="121"/>
      <c r="H114" s="120">
        <v>56.79</v>
      </c>
      <c r="I114" s="121">
        <v>68</v>
      </c>
      <c r="J114" s="122"/>
      <c r="K114" s="117"/>
      <c r="L114" s="119"/>
    </row>
    <row r="115" spans="1:12" s="149" customFormat="1" x14ac:dyDescent="0.25">
      <c r="A115" s="117" t="s">
        <v>87</v>
      </c>
      <c r="B115" s="118" t="s">
        <v>181</v>
      </c>
      <c r="C115" s="119" t="s">
        <v>523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517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30" x14ac:dyDescent="0.25">
      <c r="A117" s="117" t="s">
        <v>89</v>
      </c>
      <c r="B117" s="118" t="s">
        <v>173</v>
      </c>
      <c r="C117" s="119" t="s">
        <v>517</v>
      </c>
      <c r="D117" s="120"/>
      <c r="E117" s="121"/>
      <c r="F117" s="120"/>
      <c r="G117" s="121"/>
      <c r="H117" s="120">
        <v>31.16</v>
      </c>
      <c r="I117" s="121">
        <v>5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517</v>
      </c>
      <c r="D118" s="120"/>
      <c r="E118" s="121"/>
      <c r="F118" s="120"/>
      <c r="G118" s="121"/>
      <c r="H118" s="120">
        <v>31.16</v>
      </c>
      <c r="I118" s="121">
        <v>0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517</v>
      </c>
      <c r="D119" s="120"/>
      <c r="E119" s="121"/>
      <c r="F119" s="120"/>
      <c r="G119" s="121"/>
      <c r="H119" s="120">
        <v>31.16</v>
      </c>
      <c r="I119" s="121">
        <v>4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517</v>
      </c>
      <c r="D120" s="120"/>
      <c r="E120" s="121"/>
      <c r="F120" s="120"/>
      <c r="G120" s="121"/>
      <c r="H120" s="120">
        <v>31.16</v>
      </c>
      <c r="I120" s="121">
        <v>17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517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517</v>
      </c>
      <c r="D122" s="120"/>
      <c r="E122" s="121"/>
      <c r="F122" s="120"/>
      <c r="G122" s="121"/>
      <c r="H122" s="120">
        <v>31.16</v>
      </c>
      <c r="I122" s="121">
        <v>4</v>
      </c>
      <c r="J122" s="122"/>
      <c r="K122" s="117"/>
      <c r="L122" s="119"/>
    </row>
    <row r="123" spans="1:12" s="149" customFormat="1" ht="30" x14ac:dyDescent="0.25">
      <c r="A123" s="117" t="s">
        <v>104</v>
      </c>
      <c r="B123" s="118" t="s">
        <v>195</v>
      </c>
      <c r="C123" s="119" t="s">
        <v>517</v>
      </c>
      <c r="D123" s="120"/>
      <c r="E123" s="121"/>
      <c r="F123" s="120"/>
      <c r="G123" s="121"/>
      <c r="H123" s="120">
        <v>31.16</v>
      </c>
      <c r="I123" s="121">
        <v>0</v>
      </c>
      <c r="J123" s="122"/>
      <c r="K123" s="117"/>
      <c r="L123" s="119"/>
    </row>
    <row r="124" spans="1:12" s="149" customFormat="1" x14ac:dyDescent="0.25">
      <c r="A124" s="117" t="s">
        <v>105</v>
      </c>
      <c r="B124" s="118" t="s">
        <v>196</v>
      </c>
      <c r="C124" s="119" t="s">
        <v>517</v>
      </c>
      <c r="D124" s="120"/>
      <c r="E124" s="121"/>
      <c r="F124" s="120"/>
      <c r="G124" s="121"/>
      <c r="H124" s="120">
        <v>46.74</v>
      </c>
      <c r="I124" s="121">
        <v>3</v>
      </c>
      <c r="J124" s="122"/>
      <c r="K124" s="117"/>
      <c r="L124" s="119"/>
    </row>
    <row r="125" spans="1:12" s="149" customFormat="1" x14ac:dyDescent="0.25">
      <c r="A125" s="117" t="s">
        <v>68</v>
      </c>
      <c r="B125" s="118" t="s">
        <v>166</v>
      </c>
      <c r="C125" s="119" t="s">
        <v>517</v>
      </c>
      <c r="D125" s="120"/>
      <c r="E125" s="121"/>
      <c r="F125" s="120"/>
      <c r="G125" s="121"/>
      <c r="H125" s="120">
        <v>41.89</v>
      </c>
      <c r="I125" s="121">
        <v>40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517</v>
      </c>
      <c r="D126" s="120"/>
      <c r="E126" s="121"/>
      <c r="F126" s="120"/>
      <c r="G126" s="121"/>
      <c r="H126" s="120">
        <v>31.16</v>
      </c>
      <c r="I126" s="121">
        <v>14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517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524</v>
      </c>
      <c r="D128" s="120"/>
      <c r="E128" s="121"/>
      <c r="F128" s="120"/>
      <c r="G128" s="121"/>
      <c r="H128" s="120">
        <v>38.64</v>
      </c>
      <c r="I128" s="121">
        <v>34</v>
      </c>
      <c r="J128" s="122"/>
      <c r="K128" s="117"/>
      <c r="L128" s="119"/>
    </row>
    <row r="129" spans="1:12" s="149" customFormat="1" x14ac:dyDescent="0.25">
      <c r="A129" s="117" t="s">
        <v>64</v>
      </c>
      <c r="B129" s="118" t="s">
        <v>191</v>
      </c>
      <c r="C129" s="119" t="s">
        <v>517</v>
      </c>
      <c r="D129" s="120"/>
      <c r="E129" s="121"/>
      <c r="F129" s="120"/>
      <c r="G129" s="121"/>
      <c r="H129" s="120">
        <v>47.18</v>
      </c>
      <c r="I129" s="121">
        <v>50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524</v>
      </c>
      <c r="D130" s="120"/>
      <c r="E130" s="121"/>
      <c r="F130" s="120"/>
      <c r="G130" s="121"/>
      <c r="H130" s="120">
        <v>31.16</v>
      </c>
      <c r="I130" s="121">
        <v>0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524</v>
      </c>
      <c r="D131" s="120"/>
      <c r="E131" s="121"/>
      <c r="F131" s="120"/>
      <c r="G131" s="121"/>
      <c r="H131" s="120">
        <v>31.16</v>
      </c>
      <c r="I131" s="121">
        <v>19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524</v>
      </c>
      <c r="D132" s="120"/>
      <c r="E132" s="121"/>
      <c r="F132" s="120"/>
      <c r="G132" s="121"/>
      <c r="H132" s="120">
        <v>2155.85</v>
      </c>
      <c r="I132" s="121">
        <v>1642.04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524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524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524</v>
      </c>
      <c r="D135" s="120"/>
      <c r="E135" s="121"/>
      <c r="F135" s="120"/>
      <c r="G135" s="121"/>
      <c r="H135" s="120">
        <v>31.16</v>
      </c>
      <c r="I135" s="121">
        <v>11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524</v>
      </c>
      <c r="D136" s="120"/>
      <c r="E136" s="121"/>
      <c r="F136" s="120"/>
      <c r="G136" s="121"/>
      <c r="H136" s="120">
        <v>226.59</v>
      </c>
      <c r="I136" s="121">
        <v>258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524</v>
      </c>
      <c r="D137" s="120"/>
      <c r="E137" s="121"/>
      <c r="F137" s="120"/>
      <c r="G137" s="121"/>
      <c r="H137" s="120">
        <v>124.5</v>
      </c>
      <c r="I137" s="121">
        <v>178</v>
      </c>
      <c r="J137" s="122"/>
      <c r="K137" s="117"/>
      <c r="L137" s="119"/>
    </row>
    <row r="138" spans="1:12" s="184" customFormat="1" x14ac:dyDescent="0.25">
      <c r="A138" s="188" t="s">
        <v>176</v>
      </c>
      <c r="B138" s="189" t="s">
        <v>165</v>
      </c>
      <c r="C138" s="183" t="s">
        <v>446</v>
      </c>
      <c r="D138" s="186"/>
      <c r="E138" s="187"/>
      <c r="F138" s="186"/>
      <c r="G138" s="187"/>
      <c r="H138" s="186">
        <v>70.680000000000007</v>
      </c>
      <c r="I138" s="187">
        <v>94</v>
      </c>
      <c r="J138" s="185"/>
      <c r="K138" s="188"/>
      <c r="L138" s="183"/>
    </row>
    <row r="139" spans="1:12" s="184" customFormat="1" ht="30" x14ac:dyDescent="0.25">
      <c r="A139" s="182" t="s">
        <v>433</v>
      </c>
      <c r="B139" s="230"/>
      <c r="C139" s="185"/>
      <c r="D139" s="186"/>
      <c r="E139" s="187"/>
      <c r="F139" s="186"/>
      <c r="G139" s="187"/>
      <c r="H139" s="186"/>
      <c r="I139" s="187"/>
      <c r="J139" s="185"/>
      <c r="K139" s="188"/>
      <c r="L139" s="183"/>
    </row>
    <row r="140" spans="1:12" s="149" customFormat="1" ht="30" x14ac:dyDescent="0.25">
      <c r="A140" s="117" t="s">
        <v>107</v>
      </c>
      <c r="B140" s="118">
        <v>67</v>
      </c>
      <c r="C140" s="119" t="s">
        <v>442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517</v>
      </c>
      <c r="D141" s="120"/>
      <c r="E141" s="121"/>
      <c r="F141" s="120"/>
      <c r="G141" s="121"/>
      <c r="H141" s="120">
        <v>60</v>
      </c>
      <c r="I141" s="121">
        <v>300</v>
      </c>
      <c r="J141" s="122"/>
      <c r="K141" s="117"/>
      <c r="L141" s="119"/>
    </row>
    <row r="142" spans="1:12" s="184" customFormat="1" x14ac:dyDescent="0.25">
      <c r="A142" s="178" t="s">
        <v>432</v>
      </c>
      <c r="B142" s="179"/>
      <c r="C142" s="185"/>
      <c r="D142" s="186"/>
      <c r="E142" s="187"/>
      <c r="F142" s="186"/>
      <c r="G142" s="187"/>
      <c r="H142" s="186"/>
      <c r="I142" s="187"/>
      <c r="J142" s="185"/>
      <c r="K142" s="188"/>
      <c r="L142" s="183"/>
    </row>
    <row r="143" spans="1:12" s="149" customFormat="1" ht="30" x14ac:dyDescent="0.25">
      <c r="A143" s="117" t="s">
        <v>156</v>
      </c>
      <c r="B143" s="201">
        <v>61</v>
      </c>
      <c r="C143" s="172">
        <v>42380</v>
      </c>
      <c r="D143" s="120"/>
      <c r="E143" s="121"/>
      <c r="F143" s="120"/>
      <c r="G143" s="121"/>
      <c r="H143" s="120">
        <v>557.52</v>
      </c>
      <c r="I143" s="121">
        <v>43980</v>
      </c>
      <c r="J143" s="122"/>
      <c r="K143" s="117"/>
      <c r="L143" s="119"/>
    </row>
    <row r="144" spans="1:12" s="184" customFormat="1" ht="30" x14ac:dyDescent="0.25">
      <c r="A144" s="182" t="s">
        <v>431</v>
      </c>
      <c r="B144" s="230"/>
      <c r="C144" s="185"/>
      <c r="D144" s="186"/>
      <c r="E144" s="187"/>
      <c r="F144" s="186"/>
      <c r="G144" s="187"/>
      <c r="H144" s="186"/>
      <c r="I144" s="187"/>
      <c r="J144" s="185"/>
      <c r="K144" s="188"/>
      <c r="L144" s="183"/>
    </row>
    <row r="145" spans="1:12" s="149" customFormat="1" ht="45" x14ac:dyDescent="0.25">
      <c r="A145" s="117" t="s">
        <v>40</v>
      </c>
      <c r="B145" s="118">
        <v>95</v>
      </c>
      <c r="C145" s="138" t="s">
        <v>529</v>
      </c>
      <c r="D145" s="120"/>
      <c r="E145" s="121"/>
      <c r="F145" s="120"/>
      <c r="G145" s="121"/>
      <c r="H145" s="120">
        <v>16</v>
      </c>
      <c r="I145" s="121">
        <v>0</v>
      </c>
      <c r="J145" s="122"/>
      <c r="K145" s="117"/>
      <c r="L145" s="119"/>
    </row>
    <row r="146" spans="1:12" s="184" customFormat="1" ht="45" x14ac:dyDescent="0.25">
      <c r="A146" s="182" t="s">
        <v>430</v>
      </c>
      <c r="B146" s="189"/>
      <c r="C146" s="231"/>
      <c r="D146" s="186"/>
      <c r="E146" s="187"/>
      <c r="F146" s="186"/>
      <c r="G146" s="187"/>
      <c r="H146" s="186"/>
      <c r="I146" s="187"/>
      <c r="J146" s="185"/>
      <c r="K146" s="188"/>
      <c r="L146" s="183"/>
    </row>
    <row r="147" spans="1:12" s="184" customFormat="1" ht="30" x14ac:dyDescent="0.25">
      <c r="A147" s="188" t="s">
        <v>355</v>
      </c>
      <c r="B147" s="189" t="s">
        <v>356</v>
      </c>
      <c r="C147" s="190" t="s">
        <v>402</v>
      </c>
      <c r="D147" s="186"/>
      <c r="E147" s="187"/>
      <c r="F147" s="186"/>
      <c r="G147" s="187"/>
      <c r="H147" s="186">
        <v>10</v>
      </c>
      <c r="I147" s="187">
        <v>0</v>
      </c>
      <c r="J147" s="185"/>
      <c r="K147" s="188"/>
      <c r="L147" s="183"/>
    </row>
    <row r="148" spans="1:12" s="184" customFormat="1" x14ac:dyDescent="0.25">
      <c r="A148" s="185"/>
      <c r="B148" s="185"/>
      <c r="C148" s="185"/>
      <c r="D148" s="232">
        <f t="shared" ref="D148:I148" si="0">SUM(D2:D145)</f>
        <v>20424.990000000005</v>
      </c>
      <c r="E148" s="187">
        <f t="shared" si="0"/>
        <v>209093</v>
      </c>
      <c r="F148" s="232">
        <f t="shared" si="0"/>
        <v>6155.9299999999994</v>
      </c>
      <c r="G148" s="187">
        <f t="shared" si="0"/>
        <v>7776.0599999999995</v>
      </c>
      <c r="H148" s="232">
        <f t="shared" si="0"/>
        <v>4789.08</v>
      </c>
      <c r="I148" s="187">
        <f t="shared" si="0"/>
        <v>47521.04</v>
      </c>
      <c r="J148" s="232"/>
      <c r="K148" s="185"/>
      <c r="L148" s="183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0"/>
  <sheetViews>
    <sheetView workbookViewId="0">
      <selection activeCell="A3" sqref="A3:G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511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33"/>
      <c r="B4" s="234"/>
      <c r="C4" s="234"/>
      <c r="D4" s="234"/>
      <c r="E4" s="234"/>
      <c r="F4" s="234"/>
      <c r="G4" s="23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207518</v>
      </c>
      <c r="D13" s="34"/>
      <c r="E13" s="35" t="s">
        <v>33</v>
      </c>
      <c r="F13" s="34"/>
      <c r="G13" s="42">
        <v>19990.71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8207</v>
      </c>
      <c r="D15" s="34"/>
      <c r="E15" s="35" t="s">
        <v>10</v>
      </c>
      <c r="F15" s="34"/>
      <c r="G15" s="42">
        <v>5670.35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4666</v>
      </c>
      <c r="D17" s="34"/>
      <c r="E17" s="35" t="s">
        <v>278</v>
      </c>
      <c r="F17" s="34"/>
      <c r="G17" s="42">
        <v>4037.38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4"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2127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45"/>
      <c r="B4" s="1046"/>
      <c r="C4" s="1046"/>
      <c r="D4" s="1046"/>
      <c r="E4" s="1046"/>
      <c r="F4" s="1046"/>
      <c r="G4" s="104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196912</v>
      </c>
      <c r="D13" s="34"/>
      <c r="E13" s="35" t="s">
        <v>33</v>
      </c>
      <c r="F13" s="34"/>
      <c r="G13" s="42">
        <v>22121.09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9842</v>
      </c>
      <c r="D15" s="34"/>
      <c r="E15" s="35" t="s">
        <v>10</v>
      </c>
      <c r="F15" s="34"/>
      <c r="G15" s="42">
        <v>12763.3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15246</v>
      </c>
      <c r="D17" s="34"/>
      <c r="E17" s="35" t="s">
        <v>278</v>
      </c>
      <c r="F17" s="34"/>
      <c r="G17" s="42">
        <v>5465.1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150"/>
  <sheetViews>
    <sheetView workbookViewId="0">
      <pane ySplit="2" topLeftCell="A57" activePane="bottomLeft" state="frozen"/>
      <selection pane="bottomLeft" activeCell="A42" sqref="A42"/>
    </sheetView>
  </sheetViews>
  <sheetFormatPr defaultRowHeight="15" x14ac:dyDescent="0.25"/>
  <cols>
    <col min="1" max="1" width="22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3" width="12.7109375" style="147" bestFit="1" customWidth="1"/>
    <col min="14" max="14" width="10.42578125" style="147" bestFit="1" customWidth="1"/>
    <col min="15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84" customFormat="1" x14ac:dyDescent="0.25">
      <c r="A2" s="178" t="s">
        <v>437</v>
      </c>
      <c r="B2" s="179"/>
      <c r="C2" s="185"/>
      <c r="D2" s="186"/>
      <c r="E2" s="187"/>
      <c r="F2" s="186"/>
      <c r="G2" s="187"/>
      <c r="H2" s="186"/>
      <c r="I2" s="187"/>
      <c r="J2" s="185"/>
      <c r="K2" s="188"/>
      <c r="L2" s="183"/>
    </row>
    <row r="3" spans="1:12" s="148" customFormat="1" ht="30" x14ac:dyDescent="0.25">
      <c r="A3" s="153" t="s">
        <v>339</v>
      </c>
      <c r="B3" s="154">
        <v>3038136345</v>
      </c>
      <c r="C3" s="155" t="s">
        <v>426</v>
      </c>
      <c r="D3" s="156"/>
      <c r="E3" s="157"/>
      <c r="F3" s="156">
        <v>1665.95</v>
      </c>
      <c r="G3" s="157">
        <v>2702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425</v>
      </c>
      <c r="D4" s="120"/>
      <c r="E4" s="121"/>
      <c r="F4" s="120">
        <v>386.82</v>
      </c>
      <c r="G4" s="121">
        <v>576</v>
      </c>
      <c r="H4" s="120"/>
      <c r="I4" s="121"/>
      <c r="J4" s="122" t="s">
        <v>10</v>
      </c>
      <c r="K4" s="117"/>
      <c r="L4" s="119"/>
    </row>
    <row r="5" spans="1:12" s="149" customFormat="1" x14ac:dyDescent="0.25">
      <c r="A5" s="117" t="s">
        <v>36</v>
      </c>
      <c r="B5" s="118">
        <v>3039781986</v>
      </c>
      <c r="C5" s="138" t="s">
        <v>438</v>
      </c>
      <c r="D5" s="120"/>
      <c r="E5" s="121"/>
      <c r="F5" s="120">
        <v>43.1</v>
      </c>
      <c r="G5" s="121">
        <v>1</v>
      </c>
      <c r="H5" s="120"/>
      <c r="I5" s="121"/>
      <c r="J5" s="122" t="s">
        <v>10</v>
      </c>
      <c r="K5" s="117"/>
      <c r="L5" s="119"/>
    </row>
    <row r="6" spans="1:12" s="149" customFormat="1" x14ac:dyDescent="0.25">
      <c r="A6" s="117" t="s">
        <v>34</v>
      </c>
      <c r="B6" s="118">
        <v>3039472917</v>
      </c>
      <c r="C6" s="119" t="s">
        <v>509</v>
      </c>
      <c r="D6" s="120"/>
      <c r="E6" s="121"/>
      <c r="F6" s="120">
        <v>457.97</v>
      </c>
      <c r="G6" s="121">
        <v>824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438</v>
      </c>
      <c r="D7" s="120"/>
      <c r="E7" s="121"/>
      <c r="F7" s="120">
        <v>279.24</v>
      </c>
      <c r="G7" s="121">
        <v>398</v>
      </c>
      <c r="H7" s="120"/>
      <c r="I7" s="121"/>
      <c r="J7" s="122" t="s">
        <v>10</v>
      </c>
      <c r="K7" s="117"/>
      <c r="L7" s="119"/>
    </row>
    <row r="8" spans="1:12" s="149" customFormat="1" ht="30" x14ac:dyDescent="0.25">
      <c r="A8" s="117" t="s">
        <v>41</v>
      </c>
      <c r="B8" s="118">
        <v>3044004323</v>
      </c>
      <c r="C8" s="119" t="s">
        <v>427</v>
      </c>
      <c r="D8" s="120"/>
      <c r="E8" s="121"/>
      <c r="F8" s="120">
        <v>163.35</v>
      </c>
      <c r="G8" s="121">
        <v>212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427</v>
      </c>
      <c r="D9" s="120"/>
      <c r="E9" s="121"/>
      <c r="F9" s="120">
        <v>84.15</v>
      </c>
      <c r="G9" s="121">
        <v>67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425</v>
      </c>
      <c r="D10" s="120"/>
      <c r="E10" s="121"/>
      <c r="F10" s="120">
        <v>689.29</v>
      </c>
      <c r="G10" s="121">
        <v>1082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507</v>
      </c>
      <c r="D11" s="120"/>
      <c r="E11" s="121"/>
      <c r="F11" s="120">
        <v>306.72000000000003</v>
      </c>
      <c r="G11" s="121">
        <v>442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427</v>
      </c>
      <c r="D12" s="120"/>
      <c r="E12" s="121"/>
      <c r="F12" s="120">
        <v>251.13</v>
      </c>
      <c r="G12" s="121">
        <v>26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405</v>
      </c>
      <c r="D13" s="120"/>
      <c r="E13" s="121"/>
      <c r="F13" s="120">
        <v>53.26</v>
      </c>
      <c r="G13" s="121">
        <v>18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425</v>
      </c>
      <c r="D14" s="120"/>
      <c r="E14" s="121"/>
      <c r="F14" s="120">
        <v>368.88</v>
      </c>
      <c r="G14" s="121">
        <v>546</v>
      </c>
      <c r="H14" s="120"/>
      <c r="I14" s="121"/>
      <c r="J14" s="122" t="s">
        <v>10</v>
      </c>
      <c r="K14" s="117"/>
      <c r="L14" s="119"/>
    </row>
    <row r="15" spans="1:12" s="149" customFormat="1" x14ac:dyDescent="0.25">
      <c r="A15" s="117" t="s">
        <v>64</v>
      </c>
      <c r="B15" s="118">
        <v>3025670416</v>
      </c>
      <c r="C15" s="119" t="s">
        <v>438</v>
      </c>
      <c r="D15" s="120"/>
      <c r="E15" s="121"/>
      <c r="F15" s="120">
        <v>115.67</v>
      </c>
      <c r="G15" s="121">
        <v>123</v>
      </c>
      <c r="H15" s="120"/>
      <c r="I15" s="121"/>
      <c r="J15" s="122" t="s">
        <v>10</v>
      </c>
      <c r="K15" s="117"/>
      <c r="L15" s="119"/>
    </row>
    <row r="16" spans="1:12" s="149" customFormat="1" ht="30" x14ac:dyDescent="0.25">
      <c r="A16" s="117" t="s">
        <v>65</v>
      </c>
      <c r="B16" s="118">
        <v>3023110891</v>
      </c>
      <c r="C16" s="119" t="s">
        <v>425</v>
      </c>
      <c r="D16" s="120"/>
      <c r="E16" s="121"/>
      <c r="F16" s="120">
        <v>617.54999999999995</v>
      </c>
      <c r="G16" s="121">
        <v>962</v>
      </c>
      <c r="H16" s="120"/>
      <c r="I16" s="121"/>
      <c r="J16" s="122" t="s">
        <v>10</v>
      </c>
      <c r="K16" s="117"/>
      <c r="L16" s="119"/>
    </row>
    <row r="17" spans="1:14" s="149" customFormat="1" ht="30" x14ac:dyDescent="0.25">
      <c r="A17" s="117" t="s">
        <v>69</v>
      </c>
      <c r="B17" s="118">
        <v>3022125574</v>
      </c>
      <c r="C17" s="119" t="s">
        <v>439</v>
      </c>
      <c r="D17" s="120"/>
      <c r="E17" s="121"/>
      <c r="F17" s="120">
        <v>59.67</v>
      </c>
      <c r="G17" s="121">
        <v>64</v>
      </c>
      <c r="H17" s="120"/>
      <c r="I17" s="121"/>
      <c r="J17" s="122" t="s">
        <v>10</v>
      </c>
      <c r="K17" s="117"/>
      <c r="L17" s="119"/>
    </row>
    <row r="18" spans="1:14" s="149" customFormat="1" x14ac:dyDescent="0.25">
      <c r="A18" s="117" t="s">
        <v>68</v>
      </c>
      <c r="B18" s="118">
        <v>3022125841</v>
      </c>
      <c r="C18" s="119" t="s">
        <v>439</v>
      </c>
      <c r="D18" s="120"/>
      <c r="E18" s="121"/>
      <c r="F18" s="120">
        <v>127.6</v>
      </c>
      <c r="G18" s="121">
        <v>164</v>
      </c>
      <c r="H18" s="120"/>
      <c r="I18" s="121"/>
      <c r="J18" s="122" t="s">
        <v>10</v>
      </c>
      <c r="K18" s="117"/>
      <c r="L18" s="119"/>
    </row>
    <row r="19" spans="1:14" s="212" customFormat="1" x14ac:dyDescent="0.25">
      <c r="A19" s="206" t="s">
        <v>436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4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4532.4399999999996</v>
      </c>
      <c r="E20" s="121">
        <v>73500</v>
      </c>
      <c r="F20" s="120"/>
      <c r="G20" s="121"/>
      <c r="H20" s="120"/>
      <c r="I20" s="121"/>
      <c r="J20" s="122" t="s">
        <v>33</v>
      </c>
      <c r="K20" s="117"/>
      <c r="L20" s="119"/>
      <c r="M20" s="149" t="s">
        <v>447</v>
      </c>
      <c r="N20" s="149" t="s">
        <v>490</v>
      </c>
    </row>
    <row r="21" spans="1:14" s="149" customFormat="1" ht="30" x14ac:dyDescent="0.25">
      <c r="A21" s="117" t="s">
        <v>113</v>
      </c>
      <c r="B21" s="118">
        <v>5089282</v>
      </c>
      <c r="C21" s="119" t="s">
        <v>444</v>
      </c>
      <c r="D21" s="120">
        <v>491.41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  <c r="M21" s="149" t="s">
        <v>447</v>
      </c>
      <c r="N21" s="149" t="s">
        <v>481</v>
      </c>
    </row>
    <row r="22" spans="1:14" s="149" customFormat="1" x14ac:dyDescent="0.25">
      <c r="A22" s="117" t="s">
        <v>252</v>
      </c>
      <c r="B22" s="122">
        <v>8239130</v>
      </c>
      <c r="C22" s="119" t="s">
        <v>444</v>
      </c>
      <c r="D22" s="120">
        <v>65.540000000000006</v>
      </c>
      <c r="E22" s="121">
        <v>132</v>
      </c>
      <c r="F22" s="120"/>
      <c r="G22" s="121"/>
      <c r="H22" s="120"/>
      <c r="I22" s="121"/>
      <c r="J22" s="122" t="s">
        <v>33</v>
      </c>
      <c r="K22" s="117"/>
      <c r="L22" s="119"/>
      <c r="M22" s="149" t="s">
        <v>447</v>
      </c>
      <c r="N22" s="149" t="s">
        <v>485</v>
      </c>
    </row>
    <row r="23" spans="1:14" s="149" customFormat="1" x14ac:dyDescent="0.25">
      <c r="A23" s="117" t="s">
        <v>114</v>
      </c>
      <c r="B23" s="118">
        <v>5089344</v>
      </c>
      <c r="C23" s="119" t="s">
        <v>444</v>
      </c>
      <c r="D23" s="120">
        <v>65.09</v>
      </c>
      <c r="E23" s="121">
        <v>257</v>
      </c>
      <c r="F23" s="120"/>
      <c r="G23" s="121"/>
      <c r="H23" s="120"/>
      <c r="I23" s="121"/>
      <c r="J23" s="122" t="s">
        <v>33</v>
      </c>
      <c r="K23" s="117"/>
      <c r="L23" s="119"/>
      <c r="M23" s="149" t="s">
        <v>447</v>
      </c>
      <c r="N23" s="149" t="s">
        <v>483</v>
      </c>
    </row>
    <row r="24" spans="1:14" s="149" customFormat="1" ht="30" x14ac:dyDescent="0.25">
      <c r="A24" s="117" t="s">
        <v>19</v>
      </c>
      <c r="B24" s="118">
        <v>7010755</v>
      </c>
      <c r="C24" s="119" t="s">
        <v>444</v>
      </c>
      <c r="D24" s="120">
        <v>47.4</v>
      </c>
      <c r="E24" s="121">
        <v>427</v>
      </c>
      <c r="F24" s="120"/>
      <c r="G24" s="121"/>
      <c r="H24" s="120"/>
      <c r="I24" s="121"/>
      <c r="J24" s="122" t="s">
        <v>33</v>
      </c>
      <c r="K24" s="117"/>
      <c r="L24" s="119"/>
      <c r="M24" s="149" t="s">
        <v>447</v>
      </c>
      <c r="N24" s="149" t="s">
        <v>498</v>
      </c>
    </row>
    <row r="25" spans="1:14" s="149" customFormat="1" ht="30" x14ac:dyDescent="0.25">
      <c r="A25" s="117" t="s">
        <v>115</v>
      </c>
      <c r="B25" s="118">
        <v>9261200</v>
      </c>
      <c r="C25" s="119" t="s">
        <v>444</v>
      </c>
      <c r="D25" s="120">
        <v>234.96</v>
      </c>
      <c r="E25" s="121">
        <v>2691</v>
      </c>
      <c r="F25" s="120"/>
      <c r="G25" s="121"/>
      <c r="H25" s="120"/>
      <c r="I25" s="121"/>
      <c r="J25" s="122" t="s">
        <v>33</v>
      </c>
      <c r="K25" s="117"/>
      <c r="L25" s="119"/>
      <c r="M25" s="149" t="s">
        <v>447</v>
      </c>
      <c r="N25" s="149" t="s">
        <v>486</v>
      </c>
    </row>
    <row r="26" spans="1:14" s="149" customFormat="1" x14ac:dyDescent="0.25">
      <c r="A26" s="117" t="s">
        <v>116</v>
      </c>
      <c r="B26" s="118">
        <v>5105092</v>
      </c>
      <c r="C26" s="119" t="s">
        <v>444</v>
      </c>
      <c r="D26" s="120">
        <v>382.05</v>
      </c>
      <c r="E26" s="121">
        <v>4479</v>
      </c>
      <c r="F26" s="120"/>
      <c r="G26" s="121"/>
      <c r="H26" s="120"/>
      <c r="I26" s="121"/>
      <c r="J26" s="122" t="s">
        <v>33</v>
      </c>
      <c r="K26" s="117"/>
      <c r="L26" s="119"/>
      <c r="M26" s="149" t="s">
        <v>447</v>
      </c>
      <c r="N26" s="149" t="s">
        <v>487</v>
      </c>
    </row>
    <row r="27" spans="1:14" s="149" customFormat="1" x14ac:dyDescent="0.25">
      <c r="A27" s="117" t="s">
        <v>119</v>
      </c>
      <c r="B27" s="118">
        <v>5074402</v>
      </c>
      <c r="C27" s="119" t="s">
        <v>444</v>
      </c>
      <c r="D27" s="120">
        <v>29.2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  <c r="M27" s="149" t="s">
        <v>447</v>
      </c>
      <c r="N27" s="149" t="s">
        <v>475</v>
      </c>
    </row>
    <row r="28" spans="1:14" s="149" customFormat="1" x14ac:dyDescent="0.25">
      <c r="A28" s="117" t="s">
        <v>248</v>
      </c>
      <c r="B28" s="118">
        <v>5264802</v>
      </c>
      <c r="C28" s="119" t="s">
        <v>444</v>
      </c>
      <c r="D28" s="120">
        <v>223.73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  <c r="M28" s="149" t="s">
        <v>447</v>
      </c>
      <c r="N28" s="149" t="s">
        <v>476</v>
      </c>
    </row>
    <row r="29" spans="1:14" s="149" customFormat="1" x14ac:dyDescent="0.25">
      <c r="A29" s="117" t="s">
        <v>264</v>
      </c>
      <c r="B29" s="118">
        <v>8234139</v>
      </c>
      <c r="C29" s="138" t="s">
        <v>444</v>
      </c>
      <c r="D29" s="139">
        <v>69.38</v>
      </c>
      <c r="E29" s="121">
        <v>368</v>
      </c>
      <c r="F29" s="120"/>
      <c r="G29" s="121"/>
      <c r="H29" s="120"/>
      <c r="I29" s="121"/>
      <c r="J29" s="122" t="s">
        <v>33</v>
      </c>
      <c r="K29" s="117"/>
      <c r="L29" s="119"/>
      <c r="M29" s="149" t="s">
        <v>447</v>
      </c>
      <c r="N29" s="149" t="s">
        <v>480</v>
      </c>
    </row>
    <row r="30" spans="1:14" s="149" customFormat="1" x14ac:dyDescent="0.25">
      <c r="A30" s="117" t="s">
        <v>250</v>
      </c>
      <c r="B30" s="118">
        <v>5074495</v>
      </c>
      <c r="C30" s="119" t="s">
        <v>444</v>
      </c>
      <c r="D30" s="120">
        <v>29.2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  <c r="M30" s="149" t="s">
        <v>447</v>
      </c>
      <c r="N30" s="149" t="s">
        <v>479</v>
      </c>
    </row>
    <row r="31" spans="1:14" s="149" customFormat="1" ht="45" x14ac:dyDescent="0.25">
      <c r="A31" s="117" t="s">
        <v>123</v>
      </c>
      <c r="B31" s="118">
        <v>5036644</v>
      </c>
      <c r="C31" s="119" t="s">
        <v>422</v>
      </c>
      <c r="D31" s="120">
        <v>185.27</v>
      </c>
      <c r="E31" s="121">
        <v>633</v>
      </c>
      <c r="F31" s="120"/>
      <c r="G31" s="121"/>
      <c r="H31" s="120"/>
      <c r="I31" s="121"/>
      <c r="J31" s="122" t="s">
        <v>33</v>
      </c>
      <c r="K31" s="117"/>
      <c r="L31" s="119"/>
      <c r="M31" s="149" t="s">
        <v>447</v>
      </c>
      <c r="N31" s="149" t="s">
        <v>454</v>
      </c>
    </row>
    <row r="32" spans="1:14" s="149" customFormat="1" ht="30" x14ac:dyDescent="0.25">
      <c r="A32" s="117" t="s">
        <v>127</v>
      </c>
      <c r="B32" s="118">
        <v>5020429</v>
      </c>
      <c r="C32" s="119" t="s">
        <v>413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  <c r="M32" s="149" t="s">
        <v>447</v>
      </c>
      <c r="N32" s="149" t="s">
        <v>471</v>
      </c>
    </row>
    <row r="33" spans="1:14" s="149" customFormat="1" ht="30" x14ac:dyDescent="0.25">
      <c r="A33" s="117" t="s">
        <v>125</v>
      </c>
      <c r="B33" s="118">
        <v>6722734</v>
      </c>
      <c r="C33" s="119" t="s">
        <v>499</v>
      </c>
      <c r="D33" s="120">
        <v>247.26</v>
      </c>
      <c r="E33" s="121">
        <v>2029</v>
      </c>
      <c r="F33" s="120"/>
      <c r="G33" s="121"/>
      <c r="H33" s="120"/>
      <c r="I33" s="121"/>
      <c r="J33" s="122" t="s">
        <v>33</v>
      </c>
      <c r="K33" s="117"/>
      <c r="L33" s="119"/>
      <c r="M33" s="149" t="s">
        <v>447</v>
      </c>
      <c r="N33" s="149" t="s">
        <v>455</v>
      </c>
    </row>
    <row r="34" spans="1:14" s="149" customFormat="1" x14ac:dyDescent="0.25">
      <c r="A34" s="117" t="s">
        <v>126</v>
      </c>
      <c r="B34" s="142">
        <v>5037202</v>
      </c>
      <c r="C34" s="119" t="s">
        <v>422</v>
      </c>
      <c r="D34" s="120">
        <v>165.28</v>
      </c>
      <c r="E34" s="121">
        <v>1956</v>
      </c>
      <c r="F34" s="120"/>
      <c r="G34" s="121"/>
      <c r="H34" s="120"/>
      <c r="I34" s="121"/>
      <c r="J34" s="122" t="s">
        <v>33</v>
      </c>
      <c r="K34" s="117"/>
      <c r="L34" s="119"/>
      <c r="M34" s="149" t="s">
        <v>447</v>
      </c>
      <c r="N34" s="149" t="s">
        <v>452</v>
      </c>
    </row>
    <row r="35" spans="1:14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35.21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  <c r="M35" s="149" t="s">
        <v>447</v>
      </c>
      <c r="N35" s="149" t="s">
        <v>467</v>
      </c>
    </row>
    <row r="36" spans="1:14" s="149" customFormat="1" x14ac:dyDescent="0.25">
      <c r="A36" s="117" t="s">
        <v>37</v>
      </c>
      <c r="B36" s="118">
        <v>5064854</v>
      </c>
      <c r="C36" s="119" t="s">
        <v>422</v>
      </c>
      <c r="D36" s="120">
        <v>604.1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  <c r="M36" s="149" t="s">
        <v>447</v>
      </c>
      <c r="N36" s="149" t="s">
        <v>448</v>
      </c>
    </row>
    <row r="37" spans="1:14" s="149" customFormat="1" ht="30" x14ac:dyDescent="0.25">
      <c r="A37" s="117" t="s">
        <v>32</v>
      </c>
      <c r="B37" s="118">
        <v>5021826</v>
      </c>
      <c r="C37" s="119" t="s">
        <v>422</v>
      </c>
      <c r="D37" s="120">
        <v>45.79</v>
      </c>
      <c r="E37" s="121">
        <v>401</v>
      </c>
      <c r="F37" s="120"/>
      <c r="G37" s="121"/>
      <c r="H37" s="120"/>
      <c r="I37" s="121"/>
      <c r="J37" s="122" t="s">
        <v>33</v>
      </c>
      <c r="K37" s="117"/>
      <c r="L37" s="119"/>
      <c r="M37" s="149" t="s">
        <v>447</v>
      </c>
      <c r="N37" s="149" t="s">
        <v>491</v>
      </c>
    </row>
    <row r="38" spans="1:14" s="149" customFormat="1" ht="30" x14ac:dyDescent="0.25">
      <c r="A38" s="117" t="s">
        <v>129</v>
      </c>
      <c r="B38" s="118">
        <v>4964784</v>
      </c>
      <c r="C38" s="119" t="s">
        <v>422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  <c r="M38" s="149" t="s">
        <v>447</v>
      </c>
      <c r="N38" s="149" t="s">
        <v>453</v>
      </c>
    </row>
    <row r="39" spans="1:14" s="149" customFormat="1" ht="30" x14ac:dyDescent="0.25">
      <c r="A39" s="117" t="s">
        <v>254</v>
      </c>
      <c r="B39" s="118">
        <v>4955887</v>
      </c>
      <c r="C39" s="119" t="s">
        <v>423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  <c r="M39" s="149" t="s">
        <v>447</v>
      </c>
      <c r="N39" s="149" t="s">
        <v>451</v>
      </c>
    </row>
    <row r="40" spans="1:14" s="149" customFormat="1" x14ac:dyDescent="0.25">
      <c r="A40" s="117" t="s">
        <v>64</v>
      </c>
      <c r="B40" s="118">
        <v>4932391</v>
      </c>
      <c r="C40" s="119" t="s">
        <v>422</v>
      </c>
      <c r="D40" s="120">
        <v>195.65</v>
      </c>
      <c r="E40" s="121">
        <v>1552</v>
      </c>
      <c r="F40" s="120"/>
      <c r="G40" s="121"/>
      <c r="H40" s="120"/>
      <c r="I40" s="121"/>
      <c r="J40" s="122" t="s">
        <v>33</v>
      </c>
      <c r="K40" s="117"/>
      <c r="L40" s="119"/>
      <c r="M40" s="149" t="s">
        <v>447</v>
      </c>
      <c r="N40" s="149" t="s">
        <v>470</v>
      </c>
    </row>
    <row r="41" spans="1:14" s="149" customFormat="1" ht="30" x14ac:dyDescent="0.25">
      <c r="A41" s="117" t="s">
        <v>28</v>
      </c>
      <c r="B41" s="118">
        <v>5265050</v>
      </c>
      <c r="C41" s="119" t="s">
        <v>428</v>
      </c>
      <c r="D41" s="120">
        <v>22.59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  <c r="M41" s="149" t="s">
        <v>447</v>
      </c>
      <c r="N41" s="149" t="s">
        <v>494</v>
      </c>
    </row>
    <row r="42" spans="1:14" s="149" customFormat="1" ht="30" x14ac:dyDescent="0.25">
      <c r="A42" s="117" t="s">
        <v>29</v>
      </c>
      <c r="B42" s="118">
        <v>5265019</v>
      </c>
      <c r="C42" s="119" t="s">
        <v>428</v>
      </c>
      <c r="D42" s="120">
        <v>16.05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  <c r="M42" s="149" t="s">
        <v>447</v>
      </c>
      <c r="N42" s="149" t="s">
        <v>495</v>
      </c>
    </row>
    <row r="43" spans="1:14" s="149" customFormat="1" ht="30" x14ac:dyDescent="0.25">
      <c r="A43" s="117" t="s">
        <v>243</v>
      </c>
      <c r="B43" s="118">
        <v>4426005</v>
      </c>
      <c r="C43" s="119" t="s">
        <v>428</v>
      </c>
      <c r="D43" s="120">
        <v>1201.02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  <c r="M43" s="149" t="s">
        <v>447</v>
      </c>
      <c r="N43" s="149" t="s">
        <v>465</v>
      </c>
    </row>
    <row r="44" spans="1:14" s="149" customFormat="1" ht="30" x14ac:dyDescent="0.25">
      <c r="A44" s="143" t="s">
        <v>22</v>
      </c>
      <c r="B44" s="118">
        <v>5264554</v>
      </c>
      <c r="C44" s="119" t="s">
        <v>428</v>
      </c>
      <c r="D44" s="120">
        <v>25.67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  <c r="M44" s="149" t="s">
        <v>447</v>
      </c>
      <c r="N44" s="149" t="s">
        <v>466</v>
      </c>
    </row>
    <row r="45" spans="1:14" s="149" customFormat="1" ht="30" x14ac:dyDescent="0.25">
      <c r="A45" s="117" t="s">
        <v>241</v>
      </c>
      <c r="B45" s="118">
        <v>4912148</v>
      </c>
      <c r="C45" s="119" t="s">
        <v>428</v>
      </c>
      <c r="D45" s="120">
        <v>299.73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  <c r="M45" s="149" t="s">
        <v>447</v>
      </c>
      <c r="N45" s="149" t="s">
        <v>464</v>
      </c>
    </row>
    <row r="46" spans="1:14" s="149" customFormat="1" ht="30" x14ac:dyDescent="0.25">
      <c r="A46" s="117" t="s">
        <v>242</v>
      </c>
      <c r="B46" s="118">
        <v>4426036</v>
      </c>
      <c r="C46" s="119" t="s">
        <v>428</v>
      </c>
      <c r="D46" s="120">
        <v>363.8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  <c r="M46" s="149" t="s">
        <v>447</v>
      </c>
      <c r="N46" s="149" t="s">
        <v>456</v>
      </c>
    </row>
    <row r="47" spans="1:14" s="149" customFormat="1" x14ac:dyDescent="0.25">
      <c r="A47" s="117" t="s">
        <v>34</v>
      </c>
      <c r="B47" s="118">
        <v>5028615</v>
      </c>
      <c r="C47" s="119" t="s">
        <v>428</v>
      </c>
      <c r="D47" s="120">
        <v>655.98</v>
      </c>
      <c r="E47" s="121">
        <v>6200</v>
      </c>
      <c r="F47" s="120"/>
      <c r="G47" s="121"/>
      <c r="H47" s="120"/>
      <c r="I47" s="121"/>
      <c r="J47" s="122" t="s">
        <v>33</v>
      </c>
      <c r="K47" s="117"/>
      <c r="L47" s="119"/>
      <c r="M47" s="149" t="s">
        <v>447</v>
      </c>
      <c r="N47" s="149" t="s">
        <v>493</v>
      </c>
    </row>
    <row r="48" spans="1:14" s="149" customFormat="1" ht="30" x14ac:dyDescent="0.25">
      <c r="A48" s="117" t="s">
        <v>47</v>
      </c>
      <c r="B48" s="118">
        <v>4914628</v>
      </c>
      <c r="C48" s="138" t="s">
        <v>428</v>
      </c>
      <c r="D48" s="120">
        <v>422.18</v>
      </c>
      <c r="E48" s="121">
        <v>4005</v>
      </c>
      <c r="F48" s="120"/>
      <c r="G48" s="121"/>
      <c r="H48" s="120"/>
      <c r="I48" s="121"/>
      <c r="J48" s="122" t="s">
        <v>33</v>
      </c>
      <c r="K48" s="117"/>
      <c r="L48" s="119"/>
      <c r="M48" s="149" t="s">
        <v>447</v>
      </c>
      <c r="N48" s="149" t="s">
        <v>461</v>
      </c>
    </row>
    <row r="49" spans="1:14" s="149" customFormat="1" ht="30" x14ac:dyDescent="0.25">
      <c r="A49" s="117" t="s">
        <v>46</v>
      </c>
      <c r="B49" s="118">
        <v>5027654</v>
      </c>
      <c r="C49" s="119" t="s">
        <v>428</v>
      </c>
      <c r="D49" s="120">
        <v>191.98</v>
      </c>
      <c r="E49" s="121">
        <v>2028</v>
      </c>
      <c r="F49" s="120"/>
      <c r="G49" s="121"/>
      <c r="H49" s="120"/>
      <c r="I49" s="121"/>
      <c r="J49" s="122" t="s">
        <v>33</v>
      </c>
      <c r="K49" s="117"/>
      <c r="L49" s="119"/>
      <c r="M49" s="149" t="s">
        <v>447</v>
      </c>
      <c r="N49" s="149" t="s">
        <v>463</v>
      </c>
    </row>
    <row r="50" spans="1:14" s="149" customFormat="1" ht="30" x14ac:dyDescent="0.25">
      <c r="A50" s="117" t="s">
        <v>48</v>
      </c>
      <c r="B50" s="118">
        <v>5262911</v>
      </c>
      <c r="C50" s="119" t="s">
        <v>428</v>
      </c>
      <c r="D50" s="120">
        <v>16.05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  <c r="M50" s="149" t="s">
        <v>447</v>
      </c>
      <c r="N50" s="149" t="s">
        <v>459</v>
      </c>
    </row>
    <row r="51" spans="1:14" s="149" customFormat="1" ht="30" x14ac:dyDescent="0.25">
      <c r="A51" s="117" t="s">
        <v>244</v>
      </c>
      <c r="B51" s="118">
        <v>8184322</v>
      </c>
      <c r="C51" s="119" t="s">
        <v>428</v>
      </c>
      <c r="D51" s="120">
        <v>637.46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  <c r="M51" s="149" t="s">
        <v>447</v>
      </c>
      <c r="N51" s="149" t="s">
        <v>460</v>
      </c>
    </row>
    <row r="52" spans="1:14" s="149" customFormat="1" ht="30" x14ac:dyDescent="0.25">
      <c r="A52" s="117" t="s">
        <v>38</v>
      </c>
      <c r="B52" s="118">
        <v>5231911</v>
      </c>
      <c r="C52" s="119" t="s">
        <v>428</v>
      </c>
      <c r="D52" s="120">
        <v>22.59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  <c r="M52" s="149" t="s">
        <v>447</v>
      </c>
      <c r="N52" s="149" t="s">
        <v>497</v>
      </c>
    </row>
    <row r="53" spans="1:14" s="149" customFormat="1" ht="30" x14ac:dyDescent="0.25">
      <c r="A53" s="117" t="s">
        <v>17</v>
      </c>
      <c r="B53" s="118">
        <v>8934894</v>
      </c>
      <c r="C53" s="119" t="s">
        <v>428</v>
      </c>
      <c r="D53" s="120">
        <v>14.6</v>
      </c>
      <c r="E53" s="121">
        <v>0</v>
      </c>
      <c r="F53" s="120"/>
      <c r="G53" s="121"/>
      <c r="H53" s="120"/>
      <c r="I53" s="121"/>
      <c r="J53" s="122" t="s">
        <v>33</v>
      </c>
      <c r="K53" s="117"/>
      <c r="L53" s="119"/>
      <c r="M53" s="149" t="s">
        <v>447</v>
      </c>
      <c r="N53" s="149" t="s">
        <v>458</v>
      </c>
    </row>
    <row r="54" spans="1:14" s="149" customFormat="1" ht="30" x14ac:dyDescent="0.25">
      <c r="A54" s="117" t="s">
        <v>240</v>
      </c>
      <c r="B54" s="118">
        <v>5031405</v>
      </c>
      <c r="C54" s="119" t="s">
        <v>428</v>
      </c>
      <c r="D54" s="120">
        <v>1312.76</v>
      </c>
      <c r="E54" s="121">
        <v>15300</v>
      </c>
      <c r="F54" s="120"/>
      <c r="G54" s="121"/>
      <c r="H54" s="120"/>
      <c r="I54" s="121"/>
      <c r="J54" s="122" t="s">
        <v>33</v>
      </c>
      <c r="K54" s="117"/>
      <c r="L54" s="119"/>
      <c r="M54" s="149" t="s">
        <v>447</v>
      </c>
      <c r="N54" s="149" t="s">
        <v>457</v>
      </c>
    </row>
    <row r="55" spans="1:14" s="149" customFormat="1" ht="30" x14ac:dyDescent="0.25">
      <c r="A55" s="117" t="s">
        <v>26</v>
      </c>
      <c r="B55" s="118">
        <v>149091</v>
      </c>
      <c r="C55" s="119" t="s">
        <v>428</v>
      </c>
      <c r="D55" s="120">
        <v>18.79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  <c r="M55" s="149" t="s">
        <v>447</v>
      </c>
      <c r="N55" s="149" t="s">
        <v>496</v>
      </c>
    </row>
    <row r="56" spans="1:14" s="149" customFormat="1" ht="30" x14ac:dyDescent="0.25">
      <c r="A56" s="117" t="s">
        <v>30</v>
      </c>
      <c r="B56" s="118">
        <v>4914473</v>
      </c>
      <c r="C56" s="119" t="s">
        <v>401</v>
      </c>
      <c r="D56" s="120">
        <v>825.81</v>
      </c>
      <c r="E56" s="121">
        <v>13140</v>
      </c>
      <c r="F56" s="120"/>
      <c r="G56" s="121"/>
      <c r="H56" s="120"/>
      <c r="I56" s="121"/>
      <c r="J56" s="122" t="s">
        <v>33</v>
      </c>
      <c r="K56" s="117"/>
      <c r="L56" s="119"/>
      <c r="M56" s="149" t="s">
        <v>447</v>
      </c>
      <c r="N56" s="149" t="s">
        <v>492</v>
      </c>
    </row>
    <row r="57" spans="1:14" s="149" customFormat="1" ht="30" x14ac:dyDescent="0.25">
      <c r="A57" s="117" t="s">
        <v>244</v>
      </c>
      <c r="B57" s="118">
        <v>117936</v>
      </c>
      <c r="C57" s="119" t="s">
        <v>428</v>
      </c>
      <c r="D57" s="120">
        <v>135.22999999999999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  <c r="M57" s="149" t="s">
        <v>447</v>
      </c>
      <c r="N57" s="149" t="s">
        <v>462</v>
      </c>
    </row>
    <row r="58" spans="1:14" s="149" customFormat="1" ht="45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  <c r="M58" s="149" t="s">
        <v>447</v>
      </c>
      <c r="N58" s="149" t="s">
        <v>472</v>
      </c>
    </row>
    <row r="59" spans="1:14" s="149" customFormat="1" ht="30" x14ac:dyDescent="0.25">
      <c r="A59" s="117" t="s">
        <v>255</v>
      </c>
      <c r="B59" s="118">
        <v>6973803</v>
      </c>
      <c r="C59" s="119" t="s">
        <v>422</v>
      </c>
      <c r="D59" s="120">
        <v>15.38</v>
      </c>
      <c r="E59" s="121">
        <v>10</v>
      </c>
      <c r="F59" s="120"/>
      <c r="G59" s="121"/>
      <c r="H59" s="120"/>
      <c r="I59" s="121"/>
      <c r="J59" s="122" t="s">
        <v>33</v>
      </c>
      <c r="K59" s="117"/>
      <c r="L59" s="119"/>
      <c r="M59" s="149" t="s">
        <v>447</v>
      </c>
      <c r="N59" s="149" t="s">
        <v>450</v>
      </c>
    </row>
    <row r="60" spans="1:14" s="149" customFormat="1" ht="30" x14ac:dyDescent="0.25">
      <c r="A60" s="117" t="s">
        <v>150</v>
      </c>
      <c r="B60" s="118">
        <v>7480591</v>
      </c>
      <c r="C60" s="119" t="s">
        <v>422</v>
      </c>
      <c r="D60" s="120">
        <v>913.42</v>
      </c>
      <c r="E60" s="121">
        <v>12605</v>
      </c>
      <c r="F60" s="120"/>
      <c r="G60" s="121"/>
      <c r="H60" s="120"/>
      <c r="I60" s="121"/>
      <c r="J60" s="122" t="s">
        <v>33</v>
      </c>
      <c r="K60" s="117"/>
      <c r="L60" s="119"/>
      <c r="M60" s="149" t="s">
        <v>447</v>
      </c>
      <c r="N60" s="149" t="s">
        <v>468</v>
      </c>
    </row>
    <row r="61" spans="1:14" s="149" customFormat="1" x14ac:dyDescent="0.25">
      <c r="A61" s="117" t="s">
        <v>253</v>
      </c>
      <c r="B61" s="118">
        <v>4934809</v>
      </c>
      <c r="C61" s="119" t="s">
        <v>422</v>
      </c>
      <c r="D61" s="120">
        <v>51.96</v>
      </c>
      <c r="E61" s="121">
        <v>420</v>
      </c>
      <c r="F61" s="120"/>
      <c r="G61" s="121"/>
      <c r="H61" s="120"/>
      <c r="I61" s="121"/>
      <c r="J61" s="122" t="s">
        <v>33</v>
      </c>
      <c r="K61" s="117"/>
      <c r="L61" s="119"/>
      <c r="M61" s="149" t="s">
        <v>447</v>
      </c>
      <c r="N61" s="149" t="s">
        <v>449</v>
      </c>
    </row>
    <row r="62" spans="1:14" s="149" customFormat="1" ht="30" x14ac:dyDescent="0.25">
      <c r="A62" s="117" t="s">
        <v>152</v>
      </c>
      <c r="B62" s="118">
        <v>9498071</v>
      </c>
      <c r="C62" s="119" t="s">
        <v>422</v>
      </c>
      <c r="D62" s="120">
        <v>196</v>
      </c>
      <c r="E62" s="121">
        <v>800</v>
      </c>
      <c r="F62" s="120"/>
      <c r="G62" s="121"/>
      <c r="H62" s="120"/>
      <c r="I62" s="121"/>
      <c r="J62" s="122" t="s">
        <v>33</v>
      </c>
      <c r="K62" s="117"/>
      <c r="L62" s="119"/>
      <c r="M62" s="149" t="s">
        <v>447</v>
      </c>
      <c r="N62" s="149" t="s">
        <v>469</v>
      </c>
    </row>
    <row r="63" spans="1:14" s="149" customFormat="1" ht="30" x14ac:dyDescent="0.25">
      <c r="A63" s="117" t="s">
        <v>245</v>
      </c>
      <c r="B63" s="118">
        <v>4962800</v>
      </c>
      <c r="C63" s="119" t="s">
        <v>422</v>
      </c>
      <c r="D63" s="120">
        <v>27.23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  <c r="M63" s="149" t="s">
        <v>447</v>
      </c>
      <c r="N63" s="149" t="s">
        <v>473</v>
      </c>
    </row>
    <row r="64" spans="1:14" s="149" customFormat="1" ht="30" x14ac:dyDescent="0.25">
      <c r="A64" s="117" t="s">
        <v>151</v>
      </c>
      <c r="B64" s="118">
        <v>710315</v>
      </c>
      <c r="C64" s="119" t="s">
        <v>422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  <c r="M64" s="149" t="s">
        <v>447</v>
      </c>
      <c r="N64" s="149" t="s">
        <v>474</v>
      </c>
    </row>
    <row r="65" spans="1:14" s="149" customFormat="1" ht="30" x14ac:dyDescent="0.25">
      <c r="A65" s="117" t="s">
        <v>24</v>
      </c>
      <c r="B65" s="118">
        <v>4892432</v>
      </c>
      <c r="C65" s="119" t="s">
        <v>417</v>
      </c>
      <c r="D65" s="120">
        <v>116.38</v>
      </c>
      <c r="E65" s="121">
        <v>421</v>
      </c>
      <c r="F65" s="120"/>
      <c r="G65" s="121"/>
      <c r="H65" s="120"/>
      <c r="I65" s="121"/>
      <c r="J65" s="122" t="s">
        <v>33</v>
      </c>
      <c r="K65" s="117"/>
      <c r="L65" s="119"/>
      <c r="M65" s="149" t="s">
        <v>447</v>
      </c>
      <c r="N65" s="149" t="s">
        <v>484</v>
      </c>
    </row>
    <row r="66" spans="1:14" s="149" customFormat="1" x14ac:dyDescent="0.25">
      <c r="A66" s="117" t="s">
        <v>21</v>
      </c>
      <c r="B66" s="118">
        <v>4968878</v>
      </c>
      <c r="C66" s="119" t="s">
        <v>417</v>
      </c>
      <c r="D66" s="120">
        <v>159.78</v>
      </c>
      <c r="E66" s="121">
        <v>1873</v>
      </c>
      <c r="F66" s="120"/>
      <c r="G66" s="121"/>
      <c r="H66" s="120"/>
      <c r="I66" s="121"/>
      <c r="J66" s="122" t="s">
        <v>33</v>
      </c>
      <c r="K66" s="117"/>
      <c r="L66" s="119"/>
      <c r="M66" s="149" t="s">
        <v>447</v>
      </c>
      <c r="N66" s="149" t="s">
        <v>482</v>
      </c>
    </row>
    <row r="67" spans="1:14" s="149" customFormat="1" ht="30" x14ac:dyDescent="0.25">
      <c r="A67" s="117" t="s">
        <v>31</v>
      </c>
      <c r="B67" s="118">
        <v>5041139</v>
      </c>
      <c r="C67" s="119" t="s">
        <v>417</v>
      </c>
      <c r="D67" s="120">
        <v>27.3</v>
      </c>
      <c r="E67" s="121">
        <v>164</v>
      </c>
      <c r="F67" s="120"/>
      <c r="G67" s="121"/>
      <c r="H67" s="120"/>
      <c r="I67" s="121"/>
      <c r="J67" s="122" t="s">
        <v>33</v>
      </c>
      <c r="K67" s="117"/>
      <c r="L67" s="119"/>
      <c r="M67" s="149" t="s">
        <v>447</v>
      </c>
      <c r="N67" s="149" t="s">
        <v>488</v>
      </c>
    </row>
    <row r="68" spans="1:14" s="149" customFormat="1" ht="30" x14ac:dyDescent="0.25">
      <c r="A68" s="117" t="s">
        <v>256</v>
      </c>
      <c r="B68" s="118">
        <v>5276024</v>
      </c>
      <c r="C68" s="119" t="s">
        <v>417</v>
      </c>
      <c r="D68" s="120">
        <v>22.56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  <c r="M68" s="149" t="s">
        <v>447</v>
      </c>
      <c r="N68" s="149" t="s">
        <v>489</v>
      </c>
    </row>
    <row r="69" spans="1:14" s="149" customFormat="1" x14ac:dyDescent="0.25">
      <c r="A69" s="117" t="s">
        <v>250</v>
      </c>
      <c r="B69" s="140">
        <v>7391</v>
      </c>
      <c r="C69" s="119" t="s">
        <v>445</v>
      </c>
      <c r="D69" s="120">
        <v>38.53</v>
      </c>
      <c r="E69" s="121">
        <v>59</v>
      </c>
      <c r="F69" s="120"/>
      <c r="G69" s="121"/>
      <c r="H69" s="120"/>
      <c r="I69" s="121"/>
      <c r="J69" s="122" t="s">
        <v>33</v>
      </c>
      <c r="K69" s="117"/>
      <c r="L69" s="119"/>
      <c r="M69" s="149" t="s">
        <v>447</v>
      </c>
      <c r="N69" s="149" t="s">
        <v>477</v>
      </c>
    </row>
    <row r="70" spans="1:14" s="149" customFormat="1" x14ac:dyDescent="0.25">
      <c r="A70" s="117" t="s">
        <v>250</v>
      </c>
      <c r="B70" s="140">
        <v>7422</v>
      </c>
      <c r="C70" s="119" t="s">
        <v>445</v>
      </c>
      <c r="D70" s="120">
        <v>29.2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  <c r="M70" s="149" t="s">
        <v>447</v>
      </c>
      <c r="N70" s="149" t="s">
        <v>478</v>
      </c>
    </row>
    <row r="71" spans="1:14" s="199" customFormat="1" ht="45" x14ac:dyDescent="0.25">
      <c r="A71" s="192" t="s">
        <v>435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4" s="149" customFormat="1" ht="45" x14ac:dyDescent="0.25">
      <c r="A72" s="117" t="s">
        <v>51</v>
      </c>
      <c r="B72" s="118" t="s">
        <v>208</v>
      </c>
      <c r="C72" s="138" t="s">
        <v>440</v>
      </c>
      <c r="D72" s="120">
        <v>169</v>
      </c>
      <c r="E72" s="121">
        <v>1691</v>
      </c>
      <c r="F72" s="120"/>
      <c r="G72" s="121"/>
      <c r="H72" s="120"/>
      <c r="I72" s="121"/>
      <c r="J72" s="122" t="s">
        <v>33</v>
      </c>
      <c r="K72" s="117"/>
      <c r="L72" s="119"/>
    </row>
    <row r="73" spans="1:14" s="149" customFormat="1" ht="45" x14ac:dyDescent="0.25">
      <c r="A73" s="117" t="s">
        <v>52</v>
      </c>
      <c r="B73" s="118" t="s">
        <v>209</v>
      </c>
      <c r="C73" s="138" t="s">
        <v>395</v>
      </c>
      <c r="D73" s="120">
        <v>182</v>
      </c>
      <c r="E73" s="121">
        <v>1708</v>
      </c>
      <c r="F73" s="120"/>
      <c r="G73" s="121"/>
      <c r="H73" s="120"/>
      <c r="I73" s="121"/>
      <c r="J73" s="122" t="s">
        <v>33</v>
      </c>
      <c r="K73" s="117"/>
      <c r="L73" s="119"/>
    </row>
    <row r="74" spans="1:14" s="149" customFormat="1" ht="45" x14ac:dyDescent="0.25">
      <c r="A74" s="117" t="s">
        <v>54</v>
      </c>
      <c r="B74" s="118" t="s">
        <v>210</v>
      </c>
      <c r="C74" s="138" t="s">
        <v>440</v>
      </c>
      <c r="D74" s="120">
        <v>70</v>
      </c>
      <c r="E74" s="121">
        <v>450</v>
      </c>
      <c r="F74" s="120"/>
      <c r="G74" s="121"/>
      <c r="H74" s="120"/>
      <c r="I74" s="121"/>
      <c r="J74" s="122" t="s">
        <v>33</v>
      </c>
      <c r="K74" s="117"/>
      <c r="L74" s="119"/>
    </row>
    <row r="75" spans="1:14" s="149" customFormat="1" ht="30" x14ac:dyDescent="0.25">
      <c r="A75" s="117" t="s">
        <v>55</v>
      </c>
      <c r="B75" s="118" t="s">
        <v>212</v>
      </c>
      <c r="C75" s="138" t="s">
        <v>440</v>
      </c>
      <c r="D75" s="120">
        <v>31</v>
      </c>
      <c r="E75" s="121">
        <v>137</v>
      </c>
      <c r="F75" s="120"/>
      <c r="G75" s="121"/>
      <c r="H75" s="120"/>
      <c r="I75" s="121"/>
      <c r="J75" s="122" t="s">
        <v>33</v>
      </c>
      <c r="K75" s="117"/>
      <c r="L75" s="119"/>
    </row>
    <row r="76" spans="1:14" s="149" customFormat="1" ht="30" x14ac:dyDescent="0.25">
      <c r="A76" s="117" t="s">
        <v>56</v>
      </c>
      <c r="B76" s="118" t="s">
        <v>213</v>
      </c>
      <c r="C76" s="138" t="s">
        <v>440</v>
      </c>
      <c r="D76" s="120">
        <v>25</v>
      </c>
      <c r="E76" s="121">
        <v>63</v>
      </c>
      <c r="F76" s="120"/>
      <c r="G76" s="121"/>
      <c r="H76" s="120"/>
      <c r="I76" s="121"/>
      <c r="J76" s="122" t="s">
        <v>33</v>
      </c>
      <c r="K76" s="117"/>
      <c r="L76" s="119"/>
    </row>
    <row r="77" spans="1:14" s="149" customFormat="1" ht="45" x14ac:dyDescent="0.25">
      <c r="A77" s="117" t="s">
        <v>57</v>
      </c>
      <c r="B77" s="118" t="s">
        <v>214</v>
      </c>
      <c r="C77" s="138" t="s">
        <v>440</v>
      </c>
      <c r="D77" s="120">
        <v>291</v>
      </c>
      <c r="E77" s="121">
        <v>2946</v>
      </c>
      <c r="F77" s="120"/>
      <c r="G77" s="121"/>
      <c r="H77" s="120"/>
      <c r="I77" s="121"/>
      <c r="J77" s="122" t="s">
        <v>33</v>
      </c>
      <c r="K77" s="117"/>
      <c r="L77" s="119"/>
    </row>
    <row r="78" spans="1:14" s="149" customFormat="1" ht="30" x14ac:dyDescent="0.25">
      <c r="A78" s="117" t="s">
        <v>58</v>
      </c>
      <c r="B78" s="118" t="s">
        <v>215</v>
      </c>
      <c r="C78" s="138" t="s">
        <v>440</v>
      </c>
      <c r="D78" s="120">
        <v>300</v>
      </c>
      <c r="E78" s="121">
        <v>3179</v>
      </c>
      <c r="F78" s="120"/>
      <c r="G78" s="121"/>
      <c r="H78" s="120"/>
      <c r="I78" s="121"/>
      <c r="J78" s="122" t="s">
        <v>33</v>
      </c>
      <c r="K78" s="117"/>
      <c r="L78" s="119"/>
    </row>
    <row r="79" spans="1:14" s="149" customFormat="1" ht="30" x14ac:dyDescent="0.25">
      <c r="A79" s="117" t="s">
        <v>59</v>
      </c>
      <c r="B79" s="118" t="s">
        <v>216</v>
      </c>
      <c r="C79" s="138" t="s">
        <v>440</v>
      </c>
      <c r="D79" s="120">
        <v>45</v>
      </c>
      <c r="E79" s="121">
        <v>290</v>
      </c>
      <c r="F79" s="120"/>
      <c r="G79" s="121"/>
      <c r="H79" s="120"/>
      <c r="I79" s="121"/>
      <c r="J79" s="122" t="s">
        <v>33</v>
      </c>
      <c r="K79" s="117"/>
      <c r="L79" s="119"/>
    </row>
    <row r="80" spans="1:14" s="149" customFormat="1" ht="30" x14ac:dyDescent="0.25">
      <c r="A80" s="117" t="s">
        <v>60</v>
      </c>
      <c r="B80" s="118" t="s">
        <v>217</v>
      </c>
      <c r="C80" s="138" t="s">
        <v>440</v>
      </c>
      <c r="D80" s="120">
        <v>43</v>
      </c>
      <c r="E80" s="121">
        <v>144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440</v>
      </c>
      <c r="D81" s="120">
        <v>19</v>
      </c>
      <c r="E81" s="121">
        <v>3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30" x14ac:dyDescent="0.25">
      <c r="A82" s="117" t="s">
        <v>62</v>
      </c>
      <c r="B82" s="118" t="s">
        <v>219</v>
      </c>
      <c r="C82" s="138" t="s">
        <v>440</v>
      </c>
      <c r="D82" s="120">
        <v>22</v>
      </c>
      <c r="E82" s="121">
        <v>34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x14ac:dyDescent="0.25">
      <c r="A83" s="117" t="s">
        <v>94</v>
      </c>
      <c r="B83" s="118" t="s">
        <v>201</v>
      </c>
      <c r="C83" s="119" t="s">
        <v>440</v>
      </c>
      <c r="D83" s="120">
        <v>70</v>
      </c>
      <c r="E83" s="121">
        <v>383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440</v>
      </c>
      <c r="D84" s="120">
        <v>1357</v>
      </c>
      <c r="E84" s="121">
        <v>13200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440</v>
      </c>
      <c r="D85" s="120">
        <v>46</v>
      </c>
      <c r="E85" s="121">
        <v>203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440</v>
      </c>
      <c r="D86" s="120">
        <v>37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440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440</v>
      </c>
      <c r="D88" s="120">
        <v>35</v>
      </c>
      <c r="E88" s="121">
        <v>88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440</v>
      </c>
      <c r="D89" s="120">
        <v>244</v>
      </c>
      <c r="E89" s="121">
        <v>2100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440</v>
      </c>
      <c r="D90" s="120">
        <v>757</v>
      </c>
      <c r="E90" s="121">
        <v>3600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440</v>
      </c>
      <c r="D91" s="120">
        <v>446</v>
      </c>
      <c r="E91" s="121">
        <v>2928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440</v>
      </c>
      <c r="D92" s="120">
        <v>95</v>
      </c>
      <c r="E92" s="121">
        <v>357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440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440</v>
      </c>
      <c r="D94" s="120">
        <v>70</v>
      </c>
      <c r="E94" s="121">
        <v>408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440</v>
      </c>
      <c r="D95" s="120">
        <v>35</v>
      </c>
      <c r="E95" s="121">
        <v>181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434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440</v>
      </c>
      <c r="D97" s="120"/>
      <c r="E97" s="121"/>
      <c r="F97" s="120"/>
      <c r="G97" s="121"/>
      <c r="H97" s="120">
        <v>119.31</v>
      </c>
      <c r="I97" s="121">
        <v>170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440</v>
      </c>
      <c r="D98" s="120"/>
      <c r="E98" s="121"/>
      <c r="F98" s="120"/>
      <c r="G98" s="121"/>
      <c r="H98" s="120">
        <v>92.05</v>
      </c>
      <c r="I98" s="121">
        <v>128</v>
      </c>
      <c r="J98" s="122"/>
      <c r="K98" s="117"/>
      <c r="L98" s="119"/>
    </row>
    <row r="99" spans="1:12" s="149" customFormat="1" x14ac:dyDescent="0.25">
      <c r="A99" s="117" t="s">
        <v>71</v>
      </c>
      <c r="B99" s="118" t="s">
        <v>188</v>
      </c>
      <c r="C99" s="119" t="s">
        <v>440</v>
      </c>
      <c r="D99" s="120"/>
      <c r="E99" s="121"/>
      <c r="F99" s="120"/>
      <c r="G99" s="121"/>
      <c r="H99" s="120">
        <v>31.16</v>
      </c>
      <c r="I99" s="121">
        <v>0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440</v>
      </c>
      <c r="D100" s="120"/>
      <c r="E100" s="121"/>
      <c r="F100" s="120"/>
      <c r="G100" s="121"/>
      <c r="H100" s="120">
        <v>31.16</v>
      </c>
      <c r="I100" s="121">
        <v>0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440</v>
      </c>
      <c r="D101" s="120"/>
      <c r="E101" s="121"/>
      <c r="F101" s="120"/>
      <c r="G101" s="121"/>
      <c r="H101" s="120">
        <v>42.91</v>
      </c>
      <c r="I101" s="121">
        <v>42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440</v>
      </c>
      <c r="D102" s="120"/>
      <c r="E102" s="121"/>
      <c r="F102" s="120"/>
      <c r="G102" s="121"/>
      <c r="H102" s="120">
        <v>31.16</v>
      </c>
      <c r="I102" s="121">
        <v>0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440</v>
      </c>
      <c r="D103" s="120"/>
      <c r="E103" s="121"/>
      <c r="F103" s="120"/>
      <c r="G103" s="121"/>
      <c r="H103" s="120">
        <v>46.65</v>
      </c>
      <c r="I103" s="121">
        <v>49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440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440</v>
      </c>
      <c r="D105" s="120"/>
      <c r="E105" s="121"/>
      <c r="F105" s="120"/>
      <c r="G105" s="121"/>
      <c r="H105" s="120">
        <v>31.16</v>
      </c>
      <c r="I105" s="121">
        <v>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440</v>
      </c>
      <c r="D106" s="120"/>
      <c r="E106" s="121"/>
      <c r="F106" s="120"/>
      <c r="G106" s="121"/>
      <c r="H106" s="120">
        <v>31.16</v>
      </c>
      <c r="I106" s="121">
        <v>1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440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440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440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440</v>
      </c>
      <c r="D110" s="120"/>
      <c r="E110" s="121"/>
      <c r="F110" s="120"/>
      <c r="G110" s="121"/>
      <c r="H110" s="120">
        <v>31.16</v>
      </c>
      <c r="I110" s="121">
        <v>1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440</v>
      </c>
      <c r="D111" s="120"/>
      <c r="E111" s="121"/>
      <c r="F111" s="120"/>
      <c r="G111" s="121"/>
      <c r="H111" s="120">
        <v>31.16</v>
      </c>
      <c r="I111" s="121">
        <v>1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440</v>
      </c>
      <c r="D112" s="120"/>
      <c r="E112" s="121"/>
      <c r="F112" s="120"/>
      <c r="G112" s="121"/>
      <c r="H112" s="120">
        <v>31.16</v>
      </c>
      <c r="I112" s="121">
        <v>2</v>
      </c>
      <c r="J112" s="122"/>
      <c r="K112" s="117"/>
      <c r="L112" s="119"/>
    </row>
    <row r="113" spans="1:12" s="149" customFormat="1" x14ac:dyDescent="0.25">
      <c r="A113" s="117" t="s">
        <v>85</v>
      </c>
      <c r="B113" s="118" t="s">
        <v>184</v>
      </c>
      <c r="C113" s="119" t="s">
        <v>440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440</v>
      </c>
      <c r="D114" s="120"/>
      <c r="E114" s="121"/>
      <c r="F114" s="120"/>
      <c r="G114" s="121"/>
      <c r="H114" s="120">
        <v>31.16</v>
      </c>
      <c r="I114" s="121">
        <v>1</v>
      </c>
      <c r="J114" s="122"/>
      <c r="K114" s="117"/>
      <c r="L114" s="119"/>
    </row>
    <row r="115" spans="1:12" s="149" customFormat="1" x14ac:dyDescent="0.25">
      <c r="A115" s="117" t="s">
        <v>87</v>
      </c>
      <c r="B115" s="118" t="s">
        <v>181</v>
      </c>
      <c r="C115" s="119" t="s">
        <v>440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440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30" x14ac:dyDescent="0.25">
      <c r="A117" s="117" t="s">
        <v>89</v>
      </c>
      <c r="B117" s="118" t="s">
        <v>173</v>
      </c>
      <c r="C117" s="119" t="s">
        <v>440</v>
      </c>
      <c r="D117" s="120"/>
      <c r="E117" s="121"/>
      <c r="F117" s="120"/>
      <c r="G117" s="121"/>
      <c r="H117" s="120">
        <v>31.16</v>
      </c>
      <c r="I117" s="121">
        <v>0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440</v>
      </c>
      <c r="D118" s="120"/>
      <c r="E118" s="121"/>
      <c r="F118" s="120"/>
      <c r="G118" s="121"/>
      <c r="H118" s="120">
        <v>31.16</v>
      </c>
      <c r="I118" s="121">
        <v>0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440</v>
      </c>
      <c r="D119" s="120"/>
      <c r="E119" s="121"/>
      <c r="F119" s="120"/>
      <c r="G119" s="121"/>
      <c r="H119" s="120">
        <v>31.16</v>
      </c>
      <c r="I119" s="121">
        <v>2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440</v>
      </c>
      <c r="D120" s="120"/>
      <c r="E120" s="121"/>
      <c r="F120" s="120"/>
      <c r="G120" s="121"/>
      <c r="H120" s="120">
        <v>33.299999999999997</v>
      </c>
      <c r="I120" s="121">
        <v>24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440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440</v>
      </c>
      <c r="D122" s="120"/>
      <c r="E122" s="121"/>
      <c r="F122" s="120"/>
      <c r="G122" s="121"/>
      <c r="H122" s="120">
        <v>31.16</v>
      </c>
      <c r="I122" s="121">
        <v>4</v>
      </c>
      <c r="J122" s="122"/>
      <c r="K122" s="117"/>
      <c r="L122" s="119"/>
    </row>
    <row r="123" spans="1:12" s="149" customFormat="1" ht="30" x14ac:dyDescent="0.25">
      <c r="A123" s="117" t="s">
        <v>104</v>
      </c>
      <c r="B123" s="118" t="s">
        <v>195</v>
      </c>
      <c r="C123" s="119" t="s">
        <v>440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x14ac:dyDescent="0.25">
      <c r="A124" s="117" t="s">
        <v>105</v>
      </c>
      <c r="B124" s="118" t="s">
        <v>196</v>
      </c>
      <c r="C124" s="119" t="s">
        <v>440</v>
      </c>
      <c r="D124" s="120"/>
      <c r="E124" s="121"/>
      <c r="F124" s="120"/>
      <c r="G124" s="121"/>
      <c r="H124" s="120">
        <v>46.74</v>
      </c>
      <c r="I124" s="121">
        <v>0</v>
      </c>
      <c r="J124" s="122"/>
      <c r="K124" s="117"/>
      <c r="L124" s="119"/>
    </row>
    <row r="125" spans="1:12" s="149" customFormat="1" x14ac:dyDescent="0.25">
      <c r="A125" s="117" t="s">
        <v>68</v>
      </c>
      <c r="B125" s="118" t="s">
        <v>166</v>
      </c>
      <c r="C125" s="119" t="s">
        <v>441</v>
      </c>
      <c r="D125" s="120"/>
      <c r="E125" s="121"/>
      <c r="F125" s="120"/>
      <c r="G125" s="121"/>
      <c r="H125" s="120">
        <v>43.98</v>
      </c>
      <c r="I125" s="121">
        <v>44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440</v>
      </c>
      <c r="D126" s="120"/>
      <c r="E126" s="121"/>
      <c r="F126" s="120"/>
      <c r="G126" s="121"/>
      <c r="H126" s="120">
        <v>31.16</v>
      </c>
      <c r="I126" s="121">
        <v>14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440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504</v>
      </c>
      <c r="D128" s="120"/>
      <c r="E128" s="121"/>
      <c r="F128" s="120"/>
      <c r="G128" s="121"/>
      <c r="H128" s="120">
        <v>35.43</v>
      </c>
      <c r="I128" s="121">
        <v>28</v>
      </c>
      <c r="J128" s="122"/>
      <c r="K128" s="117"/>
      <c r="L128" s="119"/>
    </row>
    <row r="129" spans="1:12" s="149" customFormat="1" x14ac:dyDescent="0.25">
      <c r="A129" s="117" t="s">
        <v>64</v>
      </c>
      <c r="B129" s="118" t="s">
        <v>191</v>
      </c>
      <c r="C129" s="119" t="s">
        <v>440</v>
      </c>
      <c r="D129" s="120"/>
      <c r="E129" s="121"/>
      <c r="F129" s="120"/>
      <c r="G129" s="121"/>
      <c r="H129" s="120">
        <v>68.540000000000006</v>
      </c>
      <c r="I129" s="121">
        <v>90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504</v>
      </c>
      <c r="D130" s="120"/>
      <c r="E130" s="121"/>
      <c r="F130" s="120"/>
      <c r="G130" s="121"/>
      <c r="H130" s="120">
        <v>31.16</v>
      </c>
      <c r="I130" s="121">
        <v>1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504</v>
      </c>
      <c r="D131" s="120"/>
      <c r="E131" s="121"/>
      <c r="F131" s="120"/>
      <c r="G131" s="121"/>
      <c r="H131" s="120">
        <v>31.16</v>
      </c>
      <c r="I131" s="121">
        <v>13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504</v>
      </c>
      <c r="D132" s="120"/>
      <c r="E132" s="121"/>
      <c r="F132" s="120"/>
      <c r="G132" s="121"/>
      <c r="H132" s="120">
        <v>1492.87</v>
      </c>
      <c r="I132" s="121">
        <v>1989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504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504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504</v>
      </c>
      <c r="D135" s="120"/>
      <c r="E135" s="121"/>
      <c r="F135" s="120"/>
      <c r="G135" s="121"/>
      <c r="H135" s="120">
        <v>31.16</v>
      </c>
      <c r="I135" s="121">
        <v>2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504</v>
      </c>
      <c r="D136" s="120"/>
      <c r="E136" s="121"/>
      <c r="F136" s="120"/>
      <c r="G136" s="121"/>
      <c r="H136" s="120">
        <v>269.5</v>
      </c>
      <c r="I136" s="121">
        <v>389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504</v>
      </c>
      <c r="D137" s="120"/>
      <c r="E137" s="121"/>
      <c r="F137" s="120"/>
      <c r="G137" s="121"/>
      <c r="H137" s="120">
        <v>86.86</v>
      </c>
      <c r="I137" s="121">
        <v>120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508</v>
      </c>
      <c r="D138" s="120"/>
      <c r="E138" s="121"/>
      <c r="F138" s="120"/>
      <c r="G138" s="121"/>
      <c r="H138" s="120">
        <v>70.680000000000007</v>
      </c>
      <c r="I138" s="121">
        <v>94</v>
      </c>
      <c r="J138" s="122"/>
      <c r="K138" s="117"/>
      <c r="L138" s="119"/>
    </row>
    <row r="139" spans="1:12" s="199" customFormat="1" ht="30" x14ac:dyDescent="0.25">
      <c r="A139" s="192" t="s">
        <v>433</v>
      </c>
      <c r="B139" s="193"/>
      <c r="C139" s="194"/>
      <c r="D139" s="195"/>
      <c r="E139" s="196"/>
      <c r="F139" s="195"/>
      <c r="G139" s="196"/>
      <c r="H139" s="195"/>
      <c r="I139" s="196"/>
      <c r="J139" s="194"/>
      <c r="K139" s="197"/>
      <c r="L139" s="198"/>
    </row>
    <row r="140" spans="1:12" s="149" customFormat="1" ht="30" x14ac:dyDescent="0.25">
      <c r="A140" s="117" t="s">
        <v>107</v>
      </c>
      <c r="B140" s="118">
        <v>67</v>
      </c>
      <c r="C140" s="119" t="s">
        <v>442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440</v>
      </c>
      <c r="D141" s="120"/>
      <c r="E141" s="121"/>
      <c r="F141" s="120"/>
      <c r="G141" s="121"/>
      <c r="H141" s="120">
        <v>60</v>
      </c>
      <c r="I141" s="121">
        <v>60</v>
      </c>
      <c r="J141" s="122"/>
      <c r="K141" s="117"/>
      <c r="L141" s="119"/>
    </row>
    <row r="142" spans="1:12" s="199" customFormat="1" x14ac:dyDescent="0.25">
      <c r="A142" s="202" t="s">
        <v>432</v>
      </c>
      <c r="B142" s="203"/>
      <c r="C142" s="194"/>
      <c r="D142" s="195"/>
      <c r="E142" s="196"/>
      <c r="F142" s="195"/>
      <c r="G142" s="196"/>
      <c r="H142" s="195"/>
      <c r="I142" s="196"/>
      <c r="J142" s="194"/>
      <c r="K142" s="197"/>
      <c r="L142" s="198"/>
    </row>
    <row r="143" spans="1:12" s="149" customFormat="1" ht="30" x14ac:dyDescent="0.25">
      <c r="A143" s="117" t="s">
        <v>156</v>
      </c>
      <c r="B143" s="201">
        <v>61</v>
      </c>
      <c r="C143" s="172">
        <v>42380</v>
      </c>
      <c r="D143" s="120"/>
      <c r="E143" s="121"/>
      <c r="F143" s="120"/>
      <c r="G143" s="121"/>
      <c r="H143" s="120">
        <v>557.52</v>
      </c>
      <c r="I143" s="121">
        <v>43980</v>
      </c>
      <c r="J143" s="122"/>
      <c r="K143" s="117"/>
      <c r="L143" s="119"/>
    </row>
    <row r="144" spans="1:12" s="199" customFormat="1" ht="30" x14ac:dyDescent="0.25">
      <c r="A144" s="192" t="s">
        <v>431</v>
      </c>
      <c r="B144" s="193"/>
      <c r="C144" s="194"/>
      <c r="D144" s="195"/>
      <c r="E144" s="196"/>
      <c r="F144" s="195"/>
      <c r="G144" s="196"/>
      <c r="H144" s="195"/>
      <c r="I144" s="196"/>
      <c r="J144" s="194"/>
      <c r="K144" s="197"/>
      <c r="L144" s="198"/>
    </row>
    <row r="145" spans="1:12" s="149" customFormat="1" ht="45" x14ac:dyDescent="0.25">
      <c r="A145" s="117" t="s">
        <v>40</v>
      </c>
      <c r="B145" s="118">
        <v>95</v>
      </c>
      <c r="C145" s="138" t="s">
        <v>443</v>
      </c>
      <c r="D145" s="120"/>
      <c r="E145" s="121"/>
      <c r="F145" s="120"/>
      <c r="G145" s="121"/>
      <c r="H145" s="120">
        <v>17.399999999999999</v>
      </c>
      <c r="I145" s="121">
        <v>2200</v>
      </c>
      <c r="J145" s="122"/>
      <c r="K145" s="117"/>
      <c r="L145" s="119"/>
    </row>
    <row r="146" spans="1:12" s="199" customFormat="1" ht="45" x14ac:dyDescent="0.25">
      <c r="A146" s="192" t="s">
        <v>430</v>
      </c>
      <c r="B146" s="204"/>
      <c r="C146" s="205"/>
      <c r="D146" s="195"/>
      <c r="E146" s="196"/>
      <c r="F146" s="195"/>
      <c r="G146" s="196"/>
      <c r="H146" s="195"/>
      <c r="I146" s="196"/>
      <c r="J146" s="194"/>
      <c r="K146" s="197"/>
      <c r="L146" s="198"/>
    </row>
    <row r="147" spans="1:12" s="149" customFormat="1" ht="30" x14ac:dyDescent="0.25">
      <c r="A147" s="117" t="s">
        <v>355</v>
      </c>
      <c r="B147" s="118" t="s">
        <v>356</v>
      </c>
      <c r="C147" s="138" t="s">
        <v>506</v>
      </c>
      <c r="D147" s="120"/>
      <c r="E147" s="121"/>
      <c r="F147" s="120"/>
      <c r="G147" s="121"/>
      <c r="H147" s="120">
        <v>42.11</v>
      </c>
      <c r="I147" s="121">
        <v>70220</v>
      </c>
      <c r="J147" s="122"/>
      <c r="K147" s="117"/>
      <c r="L147" s="119"/>
    </row>
    <row r="148" spans="1:12" s="150" customFormat="1" x14ac:dyDescent="0.25">
      <c r="A148" s="106"/>
      <c r="B148" s="106"/>
      <c r="C148" s="106"/>
      <c r="D148" s="116">
        <f t="shared" ref="D148:I148" si="0">SUM(D2:D145)</f>
        <v>19990.71</v>
      </c>
      <c r="E148" s="108">
        <f t="shared" si="0"/>
        <v>207518</v>
      </c>
      <c r="F148" s="116">
        <f t="shared" si="0"/>
        <v>5670.3500000000013</v>
      </c>
      <c r="G148" s="108">
        <f t="shared" si="0"/>
        <v>8207</v>
      </c>
      <c r="H148" s="116">
        <f t="shared" si="0"/>
        <v>4037.3799999999992</v>
      </c>
      <c r="I148" s="108">
        <f t="shared" si="0"/>
        <v>49666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20"/>
  <sheetViews>
    <sheetView workbookViewId="0">
      <selection activeCell="A19" sqref="A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429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27"/>
      <c r="B4" s="228"/>
      <c r="C4" s="228"/>
      <c r="D4" s="228"/>
      <c r="E4" s="228"/>
      <c r="F4" s="228"/>
      <c r="G4" s="2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200854</v>
      </c>
      <c r="D13" s="34"/>
      <c r="E13" s="35" t="s">
        <v>33</v>
      </c>
      <c r="F13" s="34"/>
      <c r="G13" s="42">
        <v>20091.650000000001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4199</v>
      </c>
      <c r="D15" s="34"/>
      <c r="E15" s="35" t="s">
        <v>10</v>
      </c>
      <c r="F15" s="34"/>
      <c r="G15" s="42">
        <v>2748.91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5713</v>
      </c>
      <c r="D17" s="34"/>
      <c r="E17" s="35" t="s">
        <v>278</v>
      </c>
      <c r="F17" s="34"/>
      <c r="G17" s="42">
        <v>4710.2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150"/>
  <sheetViews>
    <sheetView workbookViewId="0">
      <pane ySplit="2" topLeftCell="A60" activePane="bottomLeft" state="frozen"/>
      <selection pane="bottomLeft" activeCell="A138" sqref="A138:XFD138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84" customFormat="1" x14ac:dyDescent="0.25">
      <c r="A2" s="178" t="s">
        <v>6</v>
      </c>
      <c r="B2" s="179"/>
      <c r="C2" s="185"/>
      <c r="D2" s="186"/>
      <c r="E2" s="187"/>
      <c r="F2" s="186"/>
      <c r="G2" s="187"/>
      <c r="H2" s="186"/>
      <c r="I2" s="187"/>
      <c r="J2" s="185"/>
      <c r="K2" s="188"/>
      <c r="L2" s="183"/>
    </row>
    <row r="3" spans="1:12" s="148" customFormat="1" ht="45" x14ac:dyDescent="0.25">
      <c r="A3" s="153" t="s">
        <v>339</v>
      </c>
      <c r="B3" s="154">
        <v>3038136345</v>
      </c>
      <c r="C3" s="155" t="s">
        <v>404</v>
      </c>
      <c r="D3" s="156"/>
      <c r="E3" s="157"/>
      <c r="F3" s="156">
        <v>1058.55</v>
      </c>
      <c r="G3" s="157">
        <v>1650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405</v>
      </c>
      <c r="D4" s="120"/>
      <c r="E4" s="121"/>
      <c r="F4" s="120">
        <v>97.12</v>
      </c>
      <c r="G4" s="121">
        <v>89</v>
      </c>
      <c r="H4" s="120"/>
      <c r="I4" s="121"/>
      <c r="J4" s="122" t="s">
        <v>10</v>
      </c>
      <c r="K4" s="117"/>
      <c r="L4" s="119"/>
    </row>
    <row r="5" spans="1:12" s="149" customFormat="1" ht="30" x14ac:dyDescent="0.25">
      <c r="A5" s="117" t="s">
        <v>36</v>
      </c>
      <c r="B5" s="118">
        <v>3039781986</v>
      </c>
      <c r="C5" s="119" t="s">
        <v>407</v>
      </c>
      <c r="D5" s="120"/>
      <c r="E5" s="121"/>
      <c r="F5" s="120">
        <v>42.5</v>
      </c>
      <c r="G5" s="121">
        <v>0</v>
      </c>
      <c r="H5" s="120"/>
      <c r="I5" s="121"/>
      <c r="J5" s="122" t="s">
        <v>10</v>
      </c>
      <c r="K5" s="117"/>
      <c r="L5" s="119"/>
    </row>
    <row r="6" spans="1:12" s="149" customFormat="1" x14ac:dyDescent="0.25">
      <c r="A6" s="117" t="s">
        <v>34</v>
      </c>
      <c r="B6" s="118">
        <v>3039472917</v>
      </c>
      <c r="C6" s="119" t="s">
        <v>424</v>
      </c>
      <c r="D6" s="120"/>
      <c r="E6" s="121"/>
      <c r="F6" s="120">
        <v>412.75</v>
      </c>
      <c r="G6" s="121">
        <v>1420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407</v>
      </c>
      <c r="D7" s="120"/>
      <c r="E7" s="121"/>
      <c r="F7" s="120">
        <v>85.53</v>
      </c>
      <c r="G7" s="121">
        <v>70</v>
      </c>
      <c r="H7" s="120"/>
      <c r="I7" s="121"/>
      <c r="J7" s="122" t="s">
        <v>10</v>
      </c>
      <c r="K7" s="117"/>
      <c r="L7" s="119"/>
    </row>
    <row r="8" spans="1:12" s="149" customFormat="1" ht="45" x14ac:dyDescent="0.25">
      <c r="A8" s="117" t="s">
        <v>41</v>
      </c>
      <c r="B8" s="118">
        <v>3044004323</v>
      </c>
      <c r="C8" s="119" t="s">
        <v>404</v>
      </c>
      <c r="D8" s="120"/>
      <c r="E8" s="121"/>
      <c r="F8" s="120">
        <v>69.14</v>
      </c>
      <c r="G8" s="121">
        <v>38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404</v>
      </c>
      <c r="D9" s="120"/>
      <c r="E9" s="121"/>
      <c r="F9" s="120">
        <v>50.4</v>
      </c>
      <c r="G9" s="121">
        <v>5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406</v>
      </c>
      <c r="D10" s="120"/>
      <c r="E10" s="121"/>
      <c r="F10" s="120">
        <v>208.11</v>
      </c>
      <c r="G10" s="121">
        <v>269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406</v>
      </c>
      <c r="D11" s="120"/>
      <c r="E11" s="121"/>
      <c r="F11" s="120">
        <v>153.94</v>
      </c>
      <c r="G11" s="121">
        <v>181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404</v>
      </c>
      <c r="D12" s="120"/>
      <c r="E12" s="121"/>
      <c r="F12" s="120">
        <v>65.739999999999995</v>
      </c>
      <c r="G12" s="121">
        <v>32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405</v>
      </c>
      <c r="D13" s="120"/>
      <c r="E13" s="121"/>
      <c r="F13" s="120">
        <v>42.5</v>
      </c>
      <c r="G13" s="121">
        <v>0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405</v>
      </c>
      <c r="D14" s="120"/>
      <c r="E14" s="121"/>
      <c r="F14" s="120">
        <v>68.900000000000006</v>
      </c>
      <c r="G14" s="121">
        <v>43</v>
      </c>
      <c r="H14" s="120"/>
      <c r="I14" s="121"/>
      <c r="J14" s="122" t="s">
        <v>10</v>
      </c>
      <c r="K14" s="117"/>
      <c r="L14" s="119"/>
    </row>
    <row r="15" spans="1:12" s="184" customFormat="1" ht="30" x14ac:dyDescent="0.25">
      <c r="A15" s="188" t="s">
        <v>64</v>
      </c>
      <c r="B15" s="189">
        <v>3025670416</v>
      </c>
      <c r="C15" s="183" t="s">
        <v>386</v>
      </c>
      <c r="D15" s="186"/>
      <c r="E15" s="187"/>
      <c r="F15" s="186">
        <v>50.07</v>
      </c>
      <c r="G15" s="187">
        <v>12</v>
      </c>
      <c r="H15" s="186"/>
      <c r="I15" s="187"/>
      <c r="J15" s="185" t="s">
        <v>10</v>
      </c>
      <c r="K15" s="188"/>
      <c r="L15" s="183"/>
    </row>
    <row r="16" spans="1:12" s="149" customFormat="1" ht="30" x14ac:dyDescent="0.25">
      <c r="A16" s="117" t="s">
        <v>65</v>
      </c>
      <c r="B16" s="118">
        <v>3023110891</v>
      </c>
      <c r="C16" s="119" t="s">
        <v>405</v>
      </c>
      <c r="D16" s="120"/>
      <c r="E16" s="121"/>
      <c r="F16" s="120">
        <v>227.23</v>
      </c>
      <c r="G16" s="121">
        <v>301</v>
      </c>
      <c r="H16" s="120"/>
      <c r="I16" s="121"/>
      <c r="J16" s="122" t="s">
        <v>10</v>
      </c>
      <c r="K16" s="117"/>
      <c r="L16" s="119"/>
    </row>
    <row r="17" spans="1:12" s="149" customFormat="1" ht="30" x14ac:dyDescent="0.25">
      <c r="A17" s="117" t="s">
        <v>69</v>
      </c>
      <c r="B17" s="118">
        <v>3022125574</v>
      </c>
      <c r="C17" s="119" t="s">
        <v>409</v>
      </c>
      <c r="D17" s="120"/>
      <c r="E17" s="121"/>
      <c r="F17" s="120">
        <v>37.880000000000003</v>
      </c>
      <c r="G17" s="121">
        <v>27</v>
      </c>
      <c r="H17" s="120"/>
      <c r="I17" s="121"/>
      <c r="J17" s="122" t="s">
        <v>10</v>
      </c>
      <c r="K17" s="117"/>
      <c r="L17" s="119"/>
    </row>
    <row r="18" spans="1:12" s="149" customFormat="1" ht="30" x14ac:dyDescent="0.25">
      <c r="A18" s="117" t="s">
        <v>68</v>
      </c>
      <c r="B18" s="118">
        <v>3022125841</v>
      </c>
      <c r="C18" s="119" t="s">
        <v>409</v>
      </c>
      <c r="D18" s="120"/>
      <c r="E18" s="121"/>
      <c r="F18" s="120">
        <v>78.55</v>
      </c>
      <c r="G18" s="121">
        <v>62</v>
      </c>
      <c r="H18" s="120"/>
      <c r="I18" s="121"/>
      <c r="J18" s="122" t="s">
        <v>10</v>
      </c>
      <c r="K18" s="117"/>
      <c r="L18" s="119"/>
    </row>
    <row r="19" spans="1:12" s="212" customFormat="1" x14ac:dyDescent="0.25">
      <c r="A19" s="206" t="s">
        <v>25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2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4553.34</v>
      </c>
      <c r="E20" s="121">
        <v>72800</v>
      </c>
      <c r="F20" s="120"/>
      <c r="G20" s="121"/>
      <c r="H20" s="120"/>
      <c r="I20" s="121"/>
      <c r="J20" s="122" t="s">
        <v>33</v>
      </c>
      <c r="K20" s="117"/>
      <c r="L20" s="119"/>
    </row>
    <row r="21" spans="1:12" s="149" customFormat="1" ht="30" x14ac:dyDescent="0.25">
      <c r="A21" s="117" t="s">
        <v>113</v>
      </c>
      <c r="B21" s="118">
        <v>5089282</v>
      </c>
      <c r="C21" s="119" t="s">
        <v>421</v>
      </c>
      <c r="D21" s="120">
        <v>431.88</v>
      </c>
      <c r="E21" s="121">
        <v>600</v>
      </c>
      <c r="F21" s="120"/>
      <c r="G21" s="121"/>
      <c r="H21" s="120"/>
      <c r="I21" s="121"/>
      <c r="J21" s="122" t="s">
        <v>33</v>
      </c>
      <c r="K21" s="117"/>
      <c r="L21" s="119"/>
    </row>
    <row r="22" spans="1:12" s="149" customFormat="1" ht="30" x14ac:dyDescent="0.25">
      <c r="A22" s="117" t="s">
        <v>252</v>
      </c>
      <c r="B22" s="122">
        <v>8239130</v>
      </c>
      <c r="C22" s="119" t="s">
        <v>417</v>
      </c>
      <c r="D22" s="120">
        <v>40.81</v>
      </c>
      <c r="E22" s="121">
        <v>338</v>
      </c>
      <c r="F22" s="120"/>
      <c r="G22" s="121"/>
      <c r="H22" s="120"/>
      <c r="I22" s="121"/>
      <c r="J22" s="122" t="s">
        <v>33</v>
      </c>
      <c r="K22" s="117"/>
      <c r="L22" s="119"/>
    </row>
    <row r="23" spans="1:12" s="149" customFormat="1" ht="30" x14ac:dyDescent="0.25">
      <c r="A23" s="117" t="s">
        <v>114</v>
      </c>
      <c r="B23" s="118">
        <v>5089344</v>
      </c>
      <c r="C23" s="119" t="s">
        <v>417</v>
      </c>
      <c r="D23" s="120">
        <v>30.73</v>
      </c>
      <c r="E23" s="121">
        <v>208</v>
      </c>
      <c r="F23" s="120"/>
      <c r="G23" s="121"/>
      <c r="H23" s="120"/>
      <c r="I23" s="121"/>
      <c r="J23" s="122" t="s">
        <v>33</v>
      </c>
      <c r="K23" s="117"/>
      <c r="L23" s="119"/>
    </row>
    <row r="24" spans="1:12" s="149" customFormat="1" ht="30" x14ac:dyDescent="0.25">
      <c r="A24" s="117" t="s">
        <v>19</v>
      </c>
      <c r="B24" s="118">
        <v>7010755</v>
      </c>
      <c r="C24" s="119" t="s">
        <v>417</v>
      </c>
      <c r="D24" s="120">
        <v>21.64</v>
      </c>
      <c r="E24" s="121">
        <v>91</v>
      </c>
      <c r="F24" s="120"/>
      <c r="G24" s="121"/>
      <c r="H24" s="120"/>
      <c r="I24" s="121"/>
      <c r="J24" s="122" t="s">
        <v>33</v>
      </c>
      <c r="K24" s="117"/>
      <c r="L24" s="119"/>
    </row>
    <row r="25" spans="1:12" s="149" customFormat="1" ht="30" x14ac:dyDescent="0.25">
      <c r="A25" s="117" t="s">
        <v>115</v>
      </c>
      <c r="B25" s="118">
        <v>9261200</v>
      </c>
      <c r="C25" s="119" t="s">
        <v>417</v>
      </c>
      <c r="D25" s="120">
        <v>159.26</v>
      </c>
      <c r="E25" s="121">
        <v>1782</v>
      </c>
      <c r="F25" s="120"/>
      <c r="G25" s="121"/>
      <c r="H25" s="120"/>
      <c r="I25" s="121"/>
      <c r="J25" s="122" t="s">
        <v>33</v>
      </c>
      <c r="K25" s="117"/>
      <c r="L25" s="119"/>
    </row>
    <row r="26" spans="1:12" s="149" customFormat="1" ht="30" x14ac:dyDescent="0.25">
      <c r="A26" s="117" t="s">
        <v>116</v>
      </c>
      <c r="B26" s="118">
        <v>5105092</v>
      </c>
      <c r="C26" s="119" t="s">
        <v>418</v>
      </c>
      <c r="D26" s="120">
        <v>368.09</v>
      </c>
      <c r="E26" s="121">
        <v>4059</v>
      </c>
      <c r="F26" s="120"/>
      <c r="G26" s="121"/>
      <c r="H26" s="120"/>
      <c r="I26" s="121"/>
      <c r="J26" s="122" t="s">
        <v>33</v>
      </c>
      <c r="K26" s="117"/>
      <c r="L26" s="119"/>
    </row>
    <row r="27" spans="1:12" s="149" customFormat="1" ht="30" x14ac:dyDescent="0.25">
      <c r="A27" s="117" t="s">
        <v>119</v>
      </c>
      <c r="B27" s="118">
        <v>5074402</v>
      </c>
      <c r="C27" s="119" t="s">
        <v>422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</row>
    <row r="28" spans="1:12" s="149" customFormat="1" ht="30" x14ac:dyDescent="0.25">
      <c r="A28" s="117" t="s">
        <v>248</v>
      </c>
      <c r="B28" s="118">
        <v>5264802</v>
      </c>
      <c r="C28" s="119" t="s">
        <v>420</v>
      </c>
      <c r="D28" s="120">
        <v>112.18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</row>
    <row r="29" spans="1:12" s="149" customFormat="1" x14ac:dyDescent="0.25">
      <c r="A29" s="117" t="s">
        <v>264</v>
      </c>
      <c r="B29" s="118">
        <v>8234139</v>
      </c>
      <c r="C29" s="138" t="s">
        <v>420</v>
      </c>
      <c r="D29" s="139">
        <v>26.57</v>
      </c>
      <c r="E29" s="121">
        <v>154</v>
      </c>
      <c r="F29" s="120"/>
      <c r="G29" s="121"/>
      <c r="H29" s="120"/>
      <c r="I29" s="121"/>
      <c r="J29" s="122" t="s">
        <v>33</v>
      </c>
      <c r="K29" s="117"/>
      <c r="L29" s="119"/>
    </row>
    <row r="30" spans="1:12" s="149" customFormat="1" x14ac:dyDescent="0.25">
      <c r="A30" s="117" t="s">
        <v>250</v>
      </c>
      <c r="B30" s="118">
        <v>5074495</v>
      </c>
      <c r="C30" s="119" t="s">
        <v>419</v>
      </c>
      <c r="D30" s="120">
        <v>14.6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</row>
    <row r="31" spans="1:12" s="149" customFormat="1" ht="45" x14ac:dyDescent="0.25">
      <c r="A31" s="117" t="s">
        <v>123</v>
      </c>
      <c r="B31" s="118">
        <v>5036644</v>
      </c>
      <c r="C31" s="119" t="s">
        <v>422</v>
      </c>
      <c r="D31" s="120">
        <v>185.27</v>
      </c>
      <c r="E31" s="121">
        <v>633</v>
      </c>
      <c r="F31" s="120"/>
      <c r="G31" s="121"/>
      <c r="H31" s="120"/>
      <c r="I31" s="121"/>
      <c r="J31" s="122" t="s">
        <v>33</v>
      </c>
      <c r="K31" s="117"/>
      <c r="L31" s="119"/>
    </row>
    <row r="32" spans="1:12" s="149" customFormat="1" ht="30" x14ac:dyDescent="0.25">
      <c r="A32" s="117" t="s">
        <v>127</v>
      </c>
      <c r="B32" s="118">
        <v>5020429</v>
      </c>
      <c r="C32" s="119" t="s">
        <v>413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</row>
    <row r="33" spans="1:12" s="149" customFormat="1" ht="45" x14ac:dyDescent="0.25">
      <c r="A33" s="117" t="s">
        <v>125</v>
      </c>
      <c r="B33" s="118">
        <v>6722734</v>
      </c>
      <c r="C33" s="119" t="s">
        <v>422</v>
      </c>
      <c r="D33" s="120">
        <v>247.26</v>
      </c>
      <c r="E33" s="121">
        <v>1582</v>
      </c>
      <c r="F33" s="120"/>
      <c r="G33" s="121"/>
      <c r="H33" s="120"/>
      <c r="I33" s="121"/>
      <c r="J33" s="122" t="s">
        <v>33</v>
      </c>
      <c r="K33" s="117"/>
      <c r="L33" s="119"/>
    </row>
    <row r="34" spans="1:12" s="149" customFormat="1" ht="30" x14ac:dyDescent="0.25">
      <c r="A34" s="117" t="s">
        <v>126</v>
      </c>
      <c r="B34" s="142">
        <v>5037202</v>
      </c>
      <c r="C34" s="119" t="s">
        <v>422</v>
      </c>
      <c r="D34" s="120">
        <v>165.28</v>
      </c>
      <c r="E34" s="121">
        <v>1979</v>
      </c>
      <c r="F34" s="120"/>
      <c r="G34" s="121"/>
      <c r="H34" s="120"/>
      <c r="I34" s="121"/>
      <c r="J34" s="122" t="s">
        <v>33</v>
      </c>
      <c r="K34" s="117"/>
      <c r="L34" s="119"/>
    </row>
    <row r="35" spans="1:12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35.21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</row>
    <row r="36" spans="1:12" s="149" customFormat="1" x14ac:dyDescent="0.25">
      <c r="A36" s="117" t="s">
        <v>37</v>
      </c>
      <c r="B36" s="118">
        <v>5064854</v>
      </c>
      <c r="C36" s="119" t="s">
        <v>422</v>
      </c>
      <c r="D36" s="120">
        <v>604.1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</row>
    <row r="37" spans="1:12" s="149" customFormat="1" ht="30" x14ac:dyDescent="0.25">
      <c r="A37" s="117" t="s">
        <v>32</v>
      </c>
      <c r="B37" s="118">
        <v>5021826</v>
      </c>
      <c r="C37" s="119" t="s">
        <v>422</v>
      </c>
      <c r="D37" s="120">
        <v>45.79</v>
      </c>
      <c r="E37" s="121">
        <v>401</v>
      </c>
      <c r="F37" s="120"/>
      <c r="G37" s="121"/>
      <c r="H37" s="120"/>
      <c r="I37" s="121"/>
      <c r="J37" s="122" t="s">
        <v>33</v>
      </c>
      <c r="K37" s="117"/>
      <c r="L37" s="119"/>
    </row>
    <row r="38" spans="1:12" s="149" customFormat="1" ht="45" x14ac:dyDescent="0.25">
      <c r="A38" s="117" t="s">
        <v>129</v>
      </c>
      <c r="B38" s="118">
        <v>4964784</v>
      </c>
      <c r="C38" s="119" t="s">
        <v>422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</row>
    <row r="39" spans="1:12" s="149" customFormat="1" ht="30" x14ac:dyDescent="0.25">
      <c r="A39" s="117" t="s">
        <v>254</v>
      </c>
      <c r="B39" s="118">
        <v>4955887</v>
      </c>
      <c r="C39" s="119" t="s">
        <v>423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</row>
    <row r="40" spans="1:12" s="149" customFormat="1" ht="30" x14ac:dyDescent="0.25">
      <c r="A40" s="117" t="s">
        <v>64</v>
      </c>
      <c r="B40" s="118">
        <v>4932391</v>
      </c>
      <c r="C40" s="119" t="s">
        <v>422</v>
      </c>
      <c r="D40" s="120">
        <v>195.65</v>
      </c>
      <c r="E40" s="121">
        <v>1552</v>
      </c>
      <c r="F40" s="120"/>
      <c r="G40" s="121"/>
      <c r="H40" s="120"/>
      <c r="I40" s="121"/>
      <c r="J40" s="122" t="s">
        <v>33</v>
      </c>
      <c r="K40" s="117"/>
      <c r="L40" s="119"/>
    </row>
    <row r="41" spans="1:12" s="149" customFormat="1" ht="30" x14ac:dyDescent="0.25">
      <c r="A41" s="117" t="s">
        <v>28</v>
      </c>
      <c r="B41" s="118">
        <v>5265050</v>
      </c>
      <c r="C41" s="119" t="s">
        <v>401</v>
      </c>
      <c r="D41" s="120">
        <v>22.65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</row>
    <row r="42" spans="1:12" s="149" customFormat="1" ht="30" x14ac:dyDescent="0.25">
      <c r="A42" s="117" t="s">
        <v>29</v>
      </c>
      <c r="B42" s="118">
        <v>5265019</v>
      </c>
      <c r="C42" s="119" t="s">
        <v>401</v>
      </c>
      <c r="D42" s="120">
        <v>16.079999999999998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</row>
    <row r="43" spans="1:12" s="149" customFormat="1" ht="30" x14ac:dyDescent="0.25">
      <c r="A43" s="117" t="s">
        <v>243</v>
      </c>
      <c r="B43" s="118">
        <v>4426005</v>
      </c>
      <c r="C43" s="119" t="s">
        <v>401</v>
      </c>
      <c r="D43" s="120">
        <v>1205.79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</row>
    <row r="44" spans="1:12" s="149" customFormat="1" ht="30" x14ac:dyDescent="0.25">
      <c r="A44" s="143" t="s">
        <v>22</v>
      </c>
      <c r="B44" s="118">
        <v>5264554</v>
      </c>
      <c r="C44" s="119" t="s">
        <v>401</v>
      </c>
      <c r="D44" s="120">
        <v>25.73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</row>
    <row r="45" spans="1:12" s="149" customFormat="1" ht="30" x14ac:dyDescent="0.25">
      <c r="A45" s="117" t="s">
        <v>241</v>
      </c>
      <c r="B45" s="118">
        <v>4912148</v>
      </c>
      <c r="C45" s="119" t="s">
        <v>401</v>
      </c>
      <c r="D45" s="120">
        <v>300.27999999999997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</row>
    <row r="46" spans="1:12" s="149" customFormat="1" ht="30" x14ac:dyDescent="0.25">
      <c r="A46" s="117" t="s">
        <v>242</v>
      </c>
      <c r="B46" s="118">
        <v>4426036</v>
      </c>
      <c r="C46" s="119" t="s">
        <v>401</v>
      </c>
      <c r="D46" s="120">
        <v>364.72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</row>
    <row r="47" spans="1:12" s="149" customFormat="1" x14ac:dyDescent="0.25">
      <c r="A47" s="117" t="s">
        <v>34</v>
      </c>
      <c r="B47" s="118">
        <v>5028615</v>
      </c>
      <c r="C47" s="119" t="s">
        <v>401</v>
      </c>
      <c r="D47" s="120">
        <v>788.36</v>
      </c>
      <c r="E47" s="121">
        <v>6680</v>
      </c>
      <c r="F47" s="120"/>
      <c r="G47" s="121"/>
      <c r="H47" s="120"/>
      <c r="I47" s="121"/>
      <c r="J47" s="122" t="s">
        <v>33</v>
      </c>
      <c r="K47" s="117"/>
      <c r="L47" s="119"/>
    </row>
    <row r="48" spans="1:12" s="149" customFormat="1" ht="30" x14ac:dyDescent="0.25">
      <c r="A48" s="117" t="s">
        <v>47</v>
      </c>
      <c r="B48" s="118">
        <v>4914628</v>
      </c>
      <c r="C48" s="138" t="s">
        <v>381</v>
      </c>
      <c r="D48" s="120">
        <v>686.84</v>
      </c>
      <c r="E48" s="121">
        <v>6947</v>
      </c>
      <c r="F48" s="120"/>
      <c r="G48" s="121"/>
      <c r="H48" s="120"/>
      <c r="I48" s="121"/>
      <c r="J48" s="122" t="s">
        <v>33</v>
      </c>
      <c r="K48" s="117"/>
      <c r="L48" s="119"/>
    </row>
    <row r="49" spans="1:12" s="149" customFormat="1" ht="30" x14ac:dyDescent="0.25">
      <c r="A49" s="117" t="s">
        <v>46</v>
      </c>
      <c r="B49" s="118">
        <v>5027654</v>
      </c>
      <c r="C49" s="119" t="s">
        <v>401</v>
      </c>
      <c r="D49" s="120">
        <v>233.34</v>
      </c>
      <c r="E49" s="121">
        <v>2405</v>
      </c>
      <c r="F49" s="120"/>
      <c r="G49" s="121"/>
      <c r="H49" s="120"/>
      <c r="I49" s="121"/>
      <c r="J49" s="122" t="s">
        <v>33</v>
      </c>
      <c r="K49" s="117"/>
      <c r="L49" s="119"/>
    </row>
    <row r="50" spans="1:12" s="149" customFormat="1" ht="30" x14ac:dyDescent="0.25">
      <c r="A50" s="117" t="s">
        <v>48</v>
      </c>
      <c r="B50" s="118">
        <v>5262911</v>
      </c>
      <c r="C50" s="119" t="s">
        <v>401</v>
      </c>
      <c r="D50" s="120">
        <v>16.079999999999998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</row>
    <row r="51" spans="1:12" s="149" customFormat="1" ht="30" x14ac:dyDescent="0.25">
      <c r="A51" s="117" t="s">
        <v>244</v>
      </c>
      <c r="B51" s="118">
        <v>8184322</v>
      </c>
      <c r="C51" s="119" t="s">
        <v>401</v>
      </c>
      <c r="D51" s="120">
        <v>639.1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</row>
    <row r="52" spans="1:12" s="149" customFormat="1" ht="30" x14ac:dyDescent="0.25">
      <c r="A52" s="117" t="s">
        <v>38</v>
      </c>
      <c r="B52" s="118">
        <v>5231911</v>
      </c>
      <c r="C52" s="119" t="s">
        <v>401</v>
      </c>
      <c r="D52" s="120">
        <v>22.65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</row>
    <row r="53" spans="1:12" s="149" customFormat="1" ht="30" x14ac:dyDescent="0.25">
      <c r="A53" s="117" t="s">
        <v>17</v>
      </c>
      <c r="B53" s="118">
        <v>8934894</v>
      </c>
      <c r="C53" s="119" t="s">
        <v>401</v>
      </c>
      <c r="D53" s="120">
        <v>15.06</v>
      </c>
      <c r="E53" s="121">
        <v>6</v>
      </c>
      <c r="F53" s="120"/>
      <c r="G53" s="121"/>
      <c r="H53" s="120"/>
      <c r="I53" s="121"/>
      <c r="J53" s="122" t="s">
        <v>33</v>
      </c>
      <c r="K53" s="117"/>
      <c r="L53" s="119"/>
    </row>
    <row r="54" spans="1:12" s="149" customFormat="1" ht="30" x14ac:dyDescent="0.25">
      <c r="A54" s="117" t="s">
        <v>240</v>
      </c>
      <c r="B54" s="118">
        <v>5031405</v>
      </c>
      <c r="C54" s="119" t="s">
        <v>401</v>
      </c>
      <c r="D54" s="120">
        <v>1267.57</v>
      </c>
      <c r="E54" s="121">
        <v>13260</v>
      </c>
      <c r="F54" s="120"/>
      <c r="G54" s="121"/>
      <c r="H54" s="120"/>
      <c r="I54" s="121"/>
      <c r="J54" s="122" t="s">
        <v>33</v>
      </c>
      <c r="K54" s="117"/>
      <c r="L54" s="119"/>
    </row>
    <row r="55" spans="1:12" s="149" customFormat="1" ht="30" x14ac:dyDescent="0.25">
      <c r="A55" s="117" t="s">
        <v>26</v>
      </c>
      <c r="B55" s="118">
        <v>149091</v>
      </c>
      <c r="C55" s="119" t="s">
        <v>401</v>
      </c>
      <c r="D55" s="120">
        <v>18.84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</row>
    <row r="56" spans="1:12" s="149" customFormat="1" ht="30" x14ac:dyDescent="0.25">
      <c r="A56" s="117" t="s">
        <v>30</v>
      </c>
      <c r="B56" s="118">
        <v>4914473</v>
      </c>
      <c r="C56" s="119" t="s">
        <v>401</v>
      </c>
      <c r="D56" s="120">
        <v>886.92</v>
      </c>
      <c r="E56" s="121">
        <v>13140</v>
      </c>
      <c r="F56" s="120"/>
      <c r="G56" s="121"/>
      <c r="H56" s="120"/>
      <c r="I56" s="121"/>
      <c r="J56" s="122" t="s">
        <v>33</v>
      </c>
      <c r="K56" s="117"/>
      <c r="L56" s="119"/>
    </row>
    <row r="57" spans="1:12" s="149" customFormat="1" ht="30" x14ac:dyDescent="0.25">
      <c r="A57" s="117" t="s">
        <v>244</v>
      </c>
      <c r="B57" s="118">
        <v>117936</v>
      </c>
      <c r="C57" s="119" t="s">
        <v>401</v>
      </c>
      <c r="D57" s="120">
        <v>135.4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</row>
    <row r="58" spans="1:12" s="149" customFormat="1" ht="60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</row>
    <row r="59" spans="1:12" s="149" customFormat="1" ht="30" x14ac:dyDescent="0.25">
      <c r="A59" s="117" t="s">
        <v>255</v>
      </c>
      <c r="B59" s="118">
        <v>6973803</v>
      </c>
      <c r="C59" s="119" t="s">
        <v>422</v>
      </c>
      <c r="D59" s="120">
        <v>15.38</v>
      </c>
      <c r="E59" s="121">
        <v>10</v>
      </c>
      <c r="F59" s="120"/>
      <c r="G59" s="121"/>
      <c r="H59" s="120"/>
      <c r="I59" s="121"/>
      <c r="J59" s="122" t="s">
        <v>33</v>
      </c>
      <c r="K59" s="117"/>
      <c r="L59" s="119"/>
    </row>
    <row r="60" spans="1:12" s="149" customFormat="1" ht="30" x14ac:dyDescent="0.25">
      <c r="A60" s="117" t="s">
        <v>150</v>
      </c>
      <c r="B60" s="118">
        <v>7480591</v>
      </c>
      <c r="C60" s="119" t="s">
        <v>422</v>
      </c>
      <c r="D60" s="120">
        <v>913.42</v>
      </c>
      <c r="E60" s="121">
        <v>12605</v>
      </c>
      <c r="F60" s="120"/>
      <c r="G60" s="121"/>
      <c r="H60" s="120"/>
      <c r="I60" s="121"/>
      <c r="J60" s="122" t="s">
        <v>33</v>
      </c>
      <c r="K60" s="117"/>
      <c r="L60" s="119"/>
    </row>
    <row r="61" spans="1:12" s="149" customFormat="1" ht="30" x14ac:dyDescent="0.25">
      <c r="A61" s="117" t="s">
        <v>253</v>
      </c>
      <c r="B61" s="118">
        <v>4934809</v>
      </c>
      <c r="C61" s="119" t="s">
        <v>422</v>
      </c>
      <c r="D61" s="120">
        <v>47.79</v>
      </c>
      <c r="E61" s="121">
        <v>420</v>
      </c>
      <c r="F61" s="120"/>
      <c r="G61" s="121"/>
      <c r="H61" s="120"/>
      <c r="I61" s="121"/>
      <c r="J61" s="122" t="s">
        <v>33</v>
      </c>
      <c r="K61" s="117"/>
      <c r="L61" s="119"/>
    </row>
    <row r="62" spans="1:12" s="149" customFormat="1" ht="30" x14ac:dyDescent="0.25">
      <c r="A62" s="117" t="s">
        <v>152</v>
      </c>
      <c r="B62" s="118">
        <v>9498071</v>
      </c>
      <c r="C62" s="119" t="s">
        <v>422</v>
      </c>
      <c r="D62" s="120">
        <v>196.4</v>
      </c>
      <c r="E62" s="121">
        <v>800</v>
      </c>
      <c r="F62" s="120"/>
      <c r="G62" s="121"/>
      <c r="H62" s="120"/>
      <c r="I62" s="121"/>
      <c r="J62" s="122" t="s">
        <v>33</v>
      </c>
      <c r="K62" s="117"/>
      <c r="L62" s="119"/>
    </row>
    <row r="63" spans="1:12" s="149" customFormat="1" ht="30" x14ac:dyDescent="0.25">
      <c r="A63" s="117" t="s">
        <v>245</v>
      </c>
      <c r="B63" s="118">
        <v>4962800</v>
      </c>
      <c r="C63" s="119" t="s">
        <v>422</v>
      </c>
      <c r="D63" s="120">
        <v>27.23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</row>
    <row r="64" spans="1:12" s="149" customFormat="1" ht="30" x14ac:dyDescent="0.25">
      <c r="A64" s="117" t="s">
        <v>151</v>
      </c>
      <c r="B64" s="118">
        <v>710315</v>
      </c>
      <c r="C64" s="119" t="s">
        <v>422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</row>
    <row r="65" spans="1:12" s="149" customFormat="1" ht="30" x14ac:dyDescent="0.25">
      <c r="A65" s="117" t="s">
        <v>24</v>
      </c>
      <c r="B65" s="118">
        <v>4892432</v>
      </c>
      <c r="C65" s="119" t="s">
        <v>417</v>
      </c>
      <c r="D65" s="120">
        <v>116.38</v>
      </c>
      <c r="E65" s="121">
        <v>421</v>
      </c>
      <c r="F65" s="120"/>
      <c r="G65" s="121"/>
      <c r="H65" s="120"/>
      <c r="I65" s="121"/>
      <c r="J65" s="122" t="s">
        <v>33</v>
      </c>
      <c r="K65" s="117"/>
      <c r="L65" s="119"/>
    </row>
    <row r="66" spans="1:12" s="149" customFormat="1" ht="30" x14ac:dyDescent="0.25">
      <c r="A66" s="117" t="s">
        <v>21</v>
      </c>
      <c r="B66" s="118">
        <v>4968878</v>
      </c>
      <c r="C66" s="119" t="s">
        <v>417</v>
      </c>
      <c r="D66" s="120">
        <v>159.78</v>
      </c>
      <c r="E66" s="121">
        <v>1873</v>
      </c>
      <c r="F66" s="120"/>
      <c r="G66" s="121"/>
      <c r="H66" s="120"/>
      <c r="I66" s="121"/>
      <c r="J66" s="122" t="s">
        <v>33</v>
      </c>
      <c r="K66" s="117"/>
      <c r="L66" s="119"/>
    </row>
    <row r="67" spans="1:12" s="149" customFormat="1" ht="30" x14ac:dyDescent="0.25">
      <c r="A67" s="117" t="s">
        <v>31</v>
      </c>
      <c r="B67" s="118">
        <v>5041139</v>
      </c>
      <c r="C67" s="119" t="s">
        <v>417</v>
      </c>
      <c r="D67" s="120">
        <v>27.3</v>
      </c>
      <c r="E67" s="121">
        <v>164</v>
      </c>
      <c r="F67" s="120"/>
      <c r="G67" s="121"/>
      <c r="H67" s="120"/>
      <c r="I67" s="121"/>
      <c r="J67" s="122" t="s">
        <v>33</v>
      </c>
      <c r="K67" s="117"/>
      <c r="L67" s="119"/>
    </row>
    <row r="68" spans="1:12" s="149" customFormat="1" ht="30" x14ac:dyDescent="0.25">
      <c r="A68" s="117" t="s">
        <v>256</v>
      </c>
      <c r="B68" s="118">
        <v>5276024</v>
      </c>
      <c r="C68" s="119" t="s">
        <v>417</v>
      </c>
      <c r="D68" s="120">
        <v>22.56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</row>
    <row r="69" spans="1:12" s="149" customFormat="1" x14ac:dyDescent="0.25">
      <c r="A69" s="117" t="s">
        <v>250</v>
      </c>
      <c r="B69" s="140">
        <v>7391</v>
      </c>
      <c r="C69" s="119" t="s">
        <v>420</v>
      </c>
      <c r="D69" s="120">
        <v>19.420000000000002</v>
      </c>
      <c r="E69" s="121">
        <v>62</v>
      </c>
      <c r="F69" s="120"/>
      <c r="G69" s="121"/>
      <c r="H69" s="120"/>
      <c r="I69" s="121"/>
      <c r="J69" s="122" t="s">
        <v>33</v>
      </c>
      <c r="K69" s="117"/>
      <c r="L69" s="119"/>
    </row>
    <row r="70" spans="1:12" s="149" customFormat="1" x14ac:dyDescent="0.25">
      <c r="A70" s="117" t="s">
        <v>250</v>
      </c>
      <c r="B70" s="140">
        <v>7422</v>
      </c>
      <c r="C70" s="119" t="s">
        <v>420</v>
      </c>
      <c r="D70" s="120">
        <v>14.6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</row>
    <row r="71" spans="1:12" s="199" customFormat="1" ht="45" x14ac:dyDescent="0.25">
      <c r="A71" s="192" t="s">
        <v>49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2" s="149" customFormat="1" ht="60" x14ac:dyDescent="0.25">
      <c r="A72" s="117" t="s">
        <v>51</v>
      </c>
      <c r="B72" s="118" t="s">
        <v>208</v>
      </c>
      <c r="C72" s="138" t="s">
        <v>408</v>
      </c>
      <c r="D72" s="120">
        <v>190</v>
      </c>
      <c r="E72" s="121">
        <v>1702</v>
      </c>
      <c r="F72" s="120"/>
      <c r="G72" s="121"/>
      <c r="H72" s="120"/>
      <c r="I72" s="121"/>
      <c r="J72" s="122" t="s">
        <v>33</v>
      </c>
      <c r="K72" s="117"/>
      <c r="L72" s="119"/>
    </row>
    <row r="73" spans="1:12" s="149" customFormat="1" ht="60" x14ac:dyDescent="0.25">
      <c r="A73" s="117" t="s">
        <v>52</v>
      </c>
      <c r="B73" s="118" t="s">
        <v>209</v>
      </c>
      <c r="C73" s="138" t="s">
        <v>408</v>
      </c>
      <c r="D73" s="120">
        <v>166</v>
      </c>
      <c r="E73" s="121">
        <v>1352</v>
      </c>
      <c r="F73" s="120"/>
      <c r="G73" s="121"/>
      <c r="H73" s="120"/>
      <c r="I73" s="121"/>
      <c r="J73" s="122" t="s">
        <v>33</v>
      </c>
      <c r="K73" s="117"/>
      <c r="L73" s="119"/>
    </row>
    <row r="74" spans="1:12" s="149" customFormat="1" ht="75" x14ac:dyDescent="0.25">
      <c r="A74" s="117" t="s">
        <v>54</v>
      </c>
      <c r="B74" s="118" t="s">
        <v>210</v>
      </c>
      <c r="C74" s="138" t="s">
        <v>408</v>
      </c>
      <c r="D74" s="120">
        <v>80</v>
      </c>
      <c r="E74" s="121">
        <v>491</v>
      </c>
      <c r="F74" s="120"/>
      <c r="G74" s="121"/>
      <c r="H74" s="120"/>
      <c r="I74" s="121"/>
      <c r="J74" s="122" t="s">
        <v>33</v>
      </c>
      <c r="K74" s="117"/>
      <c r="L74" s="119"/>
    </row>
    <row r="75" spans="1:12" s="149" customFormat="1" ht="45" x14ac:dyDescent="0.25">
      <c r="A75" s="117" t="s">
        <v>55</v>
      </c>
      <c r="B75" s="118" t="s">
        <v>212</v>
      </c>
      <c r="C75" s="138" t="s">
        <v>408</v>
      </c>
      <c r="D75" s="120">
        <v>32</v>
      </c>
      <c r="E75" s="121">
        <v>134</v>
      </c>
      <c r="F75" s="120"/>
      <c r="G75" s="121"/>
      <c r="H75" s="120"/>
      <c r="I75" s="121"/>
      <c r="J75" s="122" t="s">
        <v>33</v>
      </c>
      <c r="K75" s="117"/>
      <c r="L75" s="119"/>
    </row>
    <row r="76" spans="1:12" s="149" customFormat="1" ht="45" x14ac:dyDescent="0.25">
      <c r="A76" s="117" t="s">
        <v>56</v>
      </c>
      <c r="B76" s="118" t="s">
        <v>213</v>
      </c>
      <c r="C76" s="138" t="s">
        <v>408</v>
      </c>
      <c r="D76" s="120">
        <v>26</v>
      </c>
      <c r="E76" s="121">
        <v>71</v>
      </c>
      <c r="F76" s="120"/>
      <c r="G76" s="121"/>
      <c r="H76" s="120"/>
      <c r="I76" s="121"/>
      <c r="J76" s="122" t="s">
        <v>33</v>
      </c>
      <c r="K76" s="117"/>
      <c r="L76" s="119"/>
    </row>
    <row r="77" spans="1:12" s="149" customFormat="1" ht="45" x14ac:dyDescent="0.25">
      <c r="A77" s="117" t="s">
        <v>57</v>
      </c>
      <c r="B77" s="118" t="s">
        <v>214</v>
      </c>
      <c r="C77" s="138" t="s">
        <v>408</v>
      </c>
      <c r="D77" s="120">
        <v>332</v>
      </c>
      <c r="E77" s="121">
        <v>2997</v>
      </c>
      <c r="F77" s="120"/>
      <c r="G77" s="121"/>
      <c r="H77" s="120"/>
      <c r="I77" s="121"/>
      <c r="J77" s="122" t="s">
        <v>33</v>
      </c>
      <c r="K77" s="117"/>
      <c r="L77" s="119"/>
    </row>
    <row r="78" spans="1:12" s="149" customFormat="1" ht="45" x14ac:dyDescent="0.25">
      <c r="A78" s="117" t="s">
        <v>58</v>
      </c>
      <c r="B78" s="118" t="s">
        <v>215</v>
      </c>
      <c r="C78" s="138" t="s">
        <v>408</v>
      </c>
      <c r="D78" s="120">
        <v>210</v>
      </c>
      <c r="E78" s="121">
        <v>1896</v>
      </c>
      <c r="F78" s="120"/>
      <c r="G78" s="121"/>
      <c r="H78" s="120"/>
      <c r="I78" s="121"/>
      <c r="J78" s="122" t="s">
        <v>33</v>
      </c>
      <c r="K78" s="117"/>
      <c r="L78" s="119"/>
    </row>
    <row r="79" spans="1:12" s="149" customFormat="1" ht="45" x14ac:dyDescent="0.25">
      <c r="A79" s="117" t="s">
        <v>59</v>
      </c>
      <c r="B79" s="118" t="s">
        <v>216</v>
      </c>
      <c r="C79" s="138" t="s">
        <v>408</v>
      </c>
      <c r="D79" s="120">
        <v>55</v>
      </c>
      <c r="E79" s="121">
        <v>356</v>
      </c>
      <c r="F79" s="120"/>
      <c r="G79" s="121"/>
      <c r="H79" s="120"/>
      <c r="I79" s="121"/>
      <c r="J79" s="122" t="s">
        <v>33</v>
      </c>
      <c r="K79" s="117"/>
      <c r="L79" s="119"/>
    </row>
    <row r="80" spans="1:12" s="149" customFormat="1" ht="45" x14ac:dyDescent="0.25">
      <c r="A80" s="117" t="s">
        <v>60</v>
      </c>
      <c r="B80" s="118" t="s">
        <v>217</v>
      </c>
      <c r="C80" s="138" t="s">
        <v>408</v>
      </c>
      <c r="D80" s="120">
        <v>41</v>
      </c>
      <c r="E80" s="121">
        <v>106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408</v>
      </c>
      <c r="D81" s="120">
        <v>19</v>
      </c>
      <c r="E81" s="121">
        <v>2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45" x14ac:dyDescent="0.25">
      <c r="A82" s="117" t="s">
        <v>62</v>
      </c>
      <c r="B82" s="118" t="s">
        <v>219</v>
      </c>
      <c r="C82" s="138" t="s">
        <v>408</v>
      </c>
      <c r="D82" s="120">
        <v>33</v>
      </c>
      <c r="E82" s="121">
        <v>140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ht="30" x14ac:dyDescent="0.25">
      <c r="A83" s="117" t="s">
        <v>94</v>
      </c>
      <c r="B83" s="118" t="s">
        <v>201</v>
      </c>
      <c r="C83" s="119" t="s">
        <v>408</v>
      </c>
      <c r="D83" s="120">
        <v>67</v>
      </c>
      <c r="E83" s="121">
        <v>287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412</v>
      </c>
      <c r="D84" s="120">
        <v>1279</v>
      </c>
      <c r="E84" s="121">
        <v>9240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408</v>
      </c>
      <c r="D85" s="120">
        <v>62</v>
      </c>
      <c r="E85" s="121">
        <v>342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408</v>
      </c>
      <c r="D86" s="120">
        <v>38</v>
      </c>
      <c r="E86" s="121">
        <v>12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408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408</v>
      </c>
      <c r="D88" s="120">
        <v>35</v>
      </c>
      <c r="E88" s="121">
        <v>70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408</v>
      </c>
      <c r="D89" s="120">
        <v>276</v>
      </c>
      <c r="E89" s="121">
        <v>2100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408</v>
      </c>
      <c r="D90" s="120">
        <v>794</v>
      </c>
      <c r="E90" s="121">
        <v>2880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408</v>
      </c>
      <c r="D91" s="120">
        <v>506</v>
      </c>
      <c r="E91" s="121">
        <v>3060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408</v>
      </c>
      <c r="D92" s="120">
        <v>102</v>
      </c>
      <c r="E92" s="121">
        <v>356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408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408</v>
      </c>
      <c r="D94" s="120">
        <v>79</v>
      </c>
      <c r="E94" s="121">
        <v>426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408</v>
      </c>
      <c r="D95" s="120">
        <v>39</v>
      </c>
      <c r="E95" s="121">
        <v>198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70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411</v>
      </c>
      <c r="D97" s="120"/>
      <c r="E97" s="121"/>
      <c r="F97" s="120"/>
      <c r="G97" s="121"/>
      <c r="H97" s="120">
        <v>134.88999999999999</v>
      </c>
      <c r="I97" s="121">
        <v>194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411</v>
      </c>
      <c r="D98" s="120"/>
      <c r="E98" s="121"/>
      <c r="F98" s="120"/>
      <c r="G98" s="121"/>
      <c r="H98" s="120">
        <v>250.41</v>
      </c>
      <c r="I98" s="121">
        <v>362</v>
      </c>
      <c r="J98" s="122"/>
      <c r="K98" s="117"/>
      <c r="L98" s="119"/>
    </row>
    <row r="99" spans="1:12" s="149" customFormat="1" ht="30" x14ac:dyDescent="0.25">
      <c r="A99" s="117" t="s">
        <v>71</v>
      </c>
      <c r="B99" s="118" t="s">
        <v>188</v>
      </c>
      <c r="C99" s="119" t="s">
        <v>411</v>
      </c>
      <c r="D99" s="120"/>
      <c r="E99" s="121"/>
      <c r="F99" s="120"/>
      <c r="G99" s="121"/>
      <c r="H99" s="120">
        <v>54.66</v>
      </c>
      <c r="I99" s="121">
        <v>64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411</v>
      </c>
      <c r="D100" s="120"/>
      <c r="E100" s="121"/>
      <c r="F100" s="120"/>
      <c r="G100" s="121"/>
      <c r="H100" s="120">
        <v>31.16</v>
      </c>
      <c r="I100" s="121">
        <v>1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411</v>
      </c>
      <c r="D101" s="120"/>
      <c r="E101" s="121"/>
      <c r="F101" s="120"/>
      <c r="G101" s="121"/>
      <c r="H101" s="120">
        <v>34.36</v>
      </c>
      <c r="I101" s="121">
        <v>26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411</v>
      </c>
      <c r="D102" s="120"/>
      <c r="E102" s="121"/>
      <c r="F102" s="120"/>
      <c r="G102" s="121"/>
      <c r="H102" s="120">
        <v>31.16</v>
      </c>
      <c r="I102" s="121">
        <v>2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411</v>
      </c>
      <c r="D103" s="120"/>
      <c r="E103" s="121"/>
      <c r="F103" s="120"/>
      <c r="G103" s="121"/>
      <c r="H103" s="120">
        <v>39.17</v>
      </c>
      <c r="I103" s="121">
        <v>35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411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411</v>
      </c>
      <c r="D105" s="120"/>
      <c r="E105" s="121"/>
      <c r="F105" s="120"/>
      <c r="G105" s="121"/>
      <c r="H105" s="120">
        <v>31.16</v>
      </c>
      <c r="I105" s="121">
        <v>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411</v>
      </c>
      <c r="D106" s="120"/>
      <c r="E106" s="121"/>
      <c r="F106" s="120"/>
      <c r="G106" s="121"/>
      <c r="H106" s="120">
        <v>31.16</v>
      </c>
      <c r="I106" s="121">
        <v>9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411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411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411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411</v>
      </c>
      <c r="D110" s="120"/>
      <c r="E110" s="121"/>
      <c r="F110" s="120"/>
      <c r="G110" s="121"/>
      <c r="H110" s="120">
        <v>31.16</v>
      </c>
      <c r="I110" s="121">
        <v>11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411</v>
      </c>
      <c r="D111" s="120"/>
      <c r="E111" s="121"/>
      <c r="F111" s="120"/>
      <c r="G111" s="121"/>
      <c r="H111" s="120">
        <v>31.16</v>
      </c>
      <c r="I111" s="121">
        <v>3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411</v>
      </c>
      <c r="D112" s="120"/>
      <c r="E112" s="121"/>
      <c r="F112" s="120"/>
      <c r="G112" s="121"/>
      <c r="H112" s="120">
        <v>31.16</v>
      </c>
      <c r="I112" s="121">
        <v>6</v>
      </c>
      <c r="J112" s="122"/>
      <c r="K112" s="117"/>
      <c r="L112" s="119"/>
    </row>
    <row r="113" spans="1:12" s="149" customFormat="1" ht="30" x14ac:dyDescent="0.25">
      <c r="A113" s="117" t="s">
        <v>85</v>
      </c>
      <c r="B113" s="118" t="s">
        <v>184</v>
      </c>
      <c r="C113" s="119" t="s">
        <v>411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413</v>
      </c>
      <c r="D114" s="120"/>
      <c r="E114" s="121"/>
      <c r="F114" s="120"/>
      <c r="G114" s="121"/>
      <c r="H114" s="120">
        <v>31.16</v>
      </c>
      <c r="I114" s="121">
        <v>6</v>
      </c>
      <c r="J114" s="122"/>
      <c r="K114" s="117"/>
      <c r="L114" s="119"/>
    </row>
    <row r="115" spans="1:12" s="149" customFormat="1" ht="30" x14ac:dyDescent="0.25">
      <c r="A115" s="117" t="s">
        <v>87</v>
      </c>
      <c r="B115" s="118" t="s">
        <v>181</v>
      </c>
      <c r="C115" s="119" t="s">
        <v>414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415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45" x14ac:dyDescent="0.25">
      <c r="A117" s="117" t="s">
        <v>89</v>
      </c>
      <c r="B117" s="118" t="s">
        <v>173</v>
      </c>
      <c r="C117" s="119" t="s">
        <v>411</v>
      </c>
      <c r="D117" s="120"/>
      <c r="E117" s="121"/>
      <c r="F117" s="120"/>
      <c r="G117" s="121"/>
      <c r="H117" s="120">
        <v>31.16</v>
      </c>
      <c r="I117" s="121">
        <v>1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411</v>
      </c>
      <c r="D118" s="120"/>
      <c r="E118" s="121"/>
      <c r="F118" s="120"/>
      <c r="G118" s="121"/>
      <c r="H118" s="120">
        <v>47.71</v>
      </c>
      <c r="I118" s="121">
        <v>51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411</v>
      </c>
      <c r="D119" s="120"/>
      <c r="E119" s="121"/>
      <c r="F119" s="120"/>
      <c r="G119" s="121"/>
      <c r="H119" s="120">
        <v>31.16</v>
      </c>
      <c r="I119" s="121">
        <v>5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411</v>
      </c>
      <c r="D120" s="120"/>
      <c r="E120" s="121"/>
      <c r="F120" s="120"/>
      <c r="G120" s="121"/>
      <c r="H120" s="120">
        <v>31.16</v>
      </c>
      <c r="I120" s="121">
        <v>4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411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411</v>
      </c>
      <c r="D122" s="120"/>
      <c r="E122" s="121"/>
      <c r="F122" s="120"/>
      <c r="G122" s="121"/>
      <c r="H122" s="120">
        <v>31.16</v>
      </c>
      <c r="I122" s="121">
        <v>19</v>
      </c>
      <c r="J122" s="122"/>
      <c r="K122" s="117"/>
      <c r="L122" s="119"/>
    </row>
    <row r="123" spans="1:12" s="149" customFormat="1" ht="45" x14ac:dyDescent="0.25">
      <c r="A123" s="117" t="s">
        <v>104</v>
      </c>
      <c r="B123" s="118" t="s">
        <v>195</v>
      </c>
      <c r="C123" s="119" t="s">
        <v>411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ht="30" x14ac:dyDescent="0.25">
      <c r="A124" s="117" t="s">
        <v>105</v>
      </c>
      <c r="B124" s="118" t="s">
        <v>196</v>
      </c>
      <c r="C124" s="119" t="s">
        <v>411</v>
      </c>
      <c r="D124" s="120"/>
      <c r="E124" s="121"/>
      <c r="F124" s="120"/>
      <c r="G124" s="121"/>
      <c r="H124" s="120">
        <v>46.74</v>
      </c>
      <c r="I124" s="121">
        <v>1</v>
      </c>
      <c r="J124" s="122"/>
      <c r="K124" s="117"/>
      <c r="L124" s="119"/>
    </row>
    <row r="125" spans="1:12" s="149" customFormat="1" ht="30" x14ac:dyDescent="0.25">
      <c r="A125" s="117" t="s">
        <v>68</v>
      </c>
      <c r="B125" s="118" t="s">
        <v>166</v>
      </c>
      <c r="C125" s="119" t="s">
        <v>411</v>
      </c>
      <c r="D125" s="120"/>
      <c r="E125" s="121"/>
      <c r="F125" s="120"/>
      <c r="G125" s="121"/>
      <c r="H125" s="120">
        <v>40.770000000000003</v>
      </c>
      <c r="I125" s="121">
        <v>38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411</v>
      </c>
      <c r="D126" s="120"/>
      <c r="E126" s="121"/>
      <c r="F126" s="120"/>
      <c r="G126" s="121"/>
      <c r="H126" s="120">
        <v>31.16</v>
      </c>
      <c r="I126" s="121">
        <v>13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411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400</v>
      </c>
      <c r="D128" s="120"/>
      <c r="E128" s="121"/>
      <c r="F128" s="120"/>
      <c r="G128" s="121"/>
      <c r="H128" s="120">
        <v>505.49</v>
      </c>
      <c r="I128" s="121">
        <v>65</v>
      </c>
      <c r="J128" s="122"/>
      <c r="K128" s="117"/>
      <c r="L128" s="119"/>
    </row>
    <row r="129" spans="1:12" s="149" customFormat="1" ht="30" x14ac:dyDescent="0.25">
      <c r="A129" s="117" t="s">
        <v>64</v>
      </c>
      <c r="B129" s="118" t="s">
        <v>191</v>
      </c>
      <c r="C129" s="119" t="s">
        <v>395</v>
      </c>
      <c r="D129" s="120"/>
      <c r="E129" s="121"/>
      <c r="F129" s="120"/>
      <c r="G129" s="121"/>
      <c r="H129" s="120">
        <v>239.81</v>
      </c>
      <c r="I129" s="121">
        <v>347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413</v>
      </c>
      <c r="D130" s="120"/>
      <c r="E130" s="121"/>
      <c r="F130" s="120"/>
      <c r="G130" s="121"/>
      <c r="H130" s="120">
        <v>31.16</v>
      </c>
      <c r="I130" s="121">
        <v>0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413</v>
      </c>
      <c r="D131" s="120"/>
      <c r="E131" s="121"/>
      <c r="F131" s="120"/>
      <c r="G131" s="121"/>
      <c r="H131" s="120">
        <v>35.43</v>
      </c>
      <c r="I131" s="121">
        <v>28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400</v>
      </c>
      <c r="D132" s="120"/>
      <c r="E132" s="121"/>
      <c r="F132" s="120"/>
      <c r="G132" s="121"/>
      <c r="H132" s="120">
        <v>1731.55</v>
      </c>
      <c r="I132" s="121">
        <v>2301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413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413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413</v>
      </c>
      <c r="D135" s="120"/>
      <c r="E135" s="121"/>
      <c r="F135" s="120"/>
      <c r="G135" s="121"/>
      <c r="H135" s="120">
        <v>31.16</v>
      </c>
      <c r="I135" s="121">
        <v>6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413</v>
      </c>
      <c r="D136" s="120"/>
      <c r="E136" s="121"/>
      <c r="F136" s="120"/>
      <c r="G136" s="121"/>
      <c r="H136" s="120">
        <v>241.22</v>
      </c>
      <c r="I136" s="121">
        <v>349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413</v>
      </c>
      <c r="D137" s="120"/>
      <c r="E137" s="121"/>
      <c r="F137" s="120"/>
      <c r="G137" s="121"/>
      <c r="H137" s="120">
        <v>125.15</v>
      </c>
      <c r="I137" s="121">
        <v>179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400</v>
      </c>
      <c r="D138" s="120"/>
      <c r="E138" s="121"/>
      <c r="F138" s="120"/>
      <c r="G138" s="121"/>
      <c r="H138" s="120">
        <v>185.37</v>
      </c>
      <c r="I138" s="121">
        <v>270</v>
      </c>
      <c r="J138" s="122"/>
      <c r="K138" s="117"/>
      <c r="L138" s="119"/>
    </row>
    <row r="139" spans="1:12" s="199" customFormat="1" ht="30" x14ac:dyDescent="0.25">
      <c r="A139" s="192" t="s">
        <v>106</v>
      </c>
      <c r="B139" s="193"/>
      <c r="C139" s="194"/>
      <c r="D139" s="195"/>
      <c r="E139" s="196"/>
      <c r="F139" s="195"/>
      <c r="G139" s="196"/>
      <c r="H139" s="195"/>
      <c r="I139" s="196"/>
      <c r="J139" s="194"/>
      <c r="K139" s="197"/>
      <c r="L139" s="198"/>
    </row>
    <row r="140" spans="1:12" s="149" customFormat="1" ht="30" x14ac:dyDescent="0.25">
      <c r="A140" s="117" t="s">
        <v>107</v>
      </c>
      <c r="B140" s="118">
        <v>67</v>
      </c>
      <c r="C140" s="119" t="s">
        <v>410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411</v>
      </c>
      <c r="D141" s="120"/>
      <c r="E141" s="121"/>
      <c r="F141" s="120"/>
      <c r="G141" s="121"/>
      <c r="H141" s="120">
        <v>60</v>
      </c>
      <c r="I141" s="121">
        <v>60</v>
      </c>
      <c r="J141" s="122"/>
      <c r="K141" s="117"/>
      <c r="L141" s="119"/>
    </row>
    <row r="142" spans="1:12" s="199" customFormat="1" x14ac:dyDescent="0.25">
      <c r="A142" s="202" t="s">
        <v>155</v>
      </c>
      <c r="B142" s="203"/>
      <c r="C142" s="194"/>
      <c r="D142" s="195"/>
      <c r="E142" s="196"/>
      <c r="F142" s="195"/>
      <c r="G142" s="196"/>
      <c r="H142" s="195"/>
      <c r="I142" s="196"/>
      <c r="J142" s="194"/>
      <c r="K142" s="197"/>
      <c r="L142" s="198"/>
    </row>
    <row r="143" spans="1:12" s="149" customFormat="1" ht="30" x14ac:dyDescent="0.25">
      <c r="A143" s="117" t="s">
        <v>156</v>
      </c>
      <c r="B143" s="201">
        <v>61</v>
      </c>
      <c r="C143" s="172">
        <v>42346</v>
      </c>
      <c r="D143" s="120"/>
      <c r="E143" s="121"/>
      <c r="F143" s="120"/>
      <c r="G143" s="121"/>
      <c r="H143" s="120">
        <v>30.15</v>
      </c>
      <c r="I143" s="121">
        <v>240</v>
      </c>
      <c r="J143" s="122"/>
      <c r="K143" s="117"/>
      <c r="L143" s="119"/>
    </row>
    <row r="144" spans="1:12" s="199" customFormat="1" ht="30" x14ac:dyDescent="0.25">
      <c r="A144" s="192" t="s">
        <v>39</v>
      </c>
      <c r="B144" s="193"/>
      <c r="C144" s="194"/>
      <c r="D144" s="195"/>
      <c r="E144" s="196"/>
      <c r="F144" s="195"/>
      <c r="G144" s="196"/>
      <c r="H144" s="195"/>
      <c r="I144" s="196"/>
      <c r="J144" s="194"/>
      <c r="K144" s="197"/>
      <c r="L144" s="198"/>
    </row>
    <row r="145" spans="1:12" s="149" customFormat="1" ht="60" x14ac:dyDescent="0.25">
      <c r="A145" s="117" t="s">
        <v>40</v>
      </c>
      <c r="B145" s="118">
        <v>95</v>
      </c>
      <c r="C145" s="172">
        <v>42368</v>
      </c>
      <c r="D145" s="120"/>
      <c r="E145" s="121"/>
      <c r="F145" s="120"/>
      <c r="G145" s="121"/>
      <c r="H145" s="120">
        <v>16</v>
      </c>
      <c r="I145" s="121">
        <v>800</v>
      </c>
      <c r="J145" s="122"/>
      <c r="K145" s="117"/>
      <c r="L145" s="119"/>
    </row>
    <row r="146" spans="1:12" s="199" customFormat="1" ht="45" x14ac:dyDescent="0.25">
      <c r="A146" s="192" t="s">
        <v>354</v>
      </c>
      <c r="B146" s="204"/>
      <c r="C146" s="205"/>
      <c r="D146" s="195"/>
      <c r="E146" s="196"/>
      <c r="F146" s="195"/>
      <c r="G146" s="196"/>
      <c r="H146" s="195"/>
      <c r="I146" s="196"/>
      <c r="J146" s="194"/>
      <c r="K146" s="197"/>
      <c r="L146" s="198"/>
    </row>
    <row r="147" spans="1:12" s="184" customFormat="1" ht="30" x14ac:dyDescent="0.25">
      <c r="A147" s="188" t="s">
        <v>355</v>
      </c>
      <c r="B147" s="189" t="s">
        <v>356</v>
      </c>
      <c r="C147" s="190" t="s">
        <v>402</v>
      </c>
      <c r="D147" s="186"/>
      <c r="E147" s="187"/>
      <c r="F147" s="186"/>
      <c r="G147" s="187"/>
      <c r="H147" s="186">
        <v>10</v>
      </c>
      <c r="I147" s="187">
        <v>0</v>
      </c>
      <c r="J147" s="185"/>
      <c r="K147" s="188"/>
      <c r="L147" s="183"/>
    </row>
    <row r="148" spans="1:12" s="150" customFormat="1" x14ac:dyDescent="0.25">
      <c r="A148" s="106"/>
      <c r="B148" s="106"/>
      <c r="C148" s="106"/>
      <c r="D148" s="116">
        <f t="shared" ref="D148:I148" si="0">SUM(D2:D145)</f>
        <v>20091.650000000001</v>
      </c>
      <c r="E148" s="108">
        <f t="shared" si="0"/>
        <v>200854</v>
      </c>
      <c r="F148" s="116">
        <f t="shared" si="0"/>
        <v>2748.9100000000008</v>
      </c>
      <c r="G148" s="108">
        <f t="shared" si="0"/>
        <v>4199</v>
      </c>
      <c r="H148" s="116">
        <f t="shared" si="0"/>
        <v>4710.1999999999989</v>
      </c>
      <c r="I148" s="108">
        <f t="shared" si="0"/>
        <v>5713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20"/>
  <sheetViews>
    <sheetView workbookViewId="0">
      <selection activeCell="B18" sqref="B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403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75"/>
      <c r="B4" s="176"/>
      <c r="C4" s="176"/>
      <c r="D4" s="176"/>
      <c r="E4" s="176"/>
      <c r="F4" s="176"/>
      <c r="G4" s="17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201649</v>
      </c>
      <c r="D13" s="34"/>
      <c r="E13" s="35" t="s">
        <v>33</v>
      </c>
      <c r="F13" s="34"/>
      <c r="G13" s="42">
        <v>20178.25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2852</v>
      </c>
      <c r="D15" s="34"/>
      <c r="E15" s="35" t="s">
        <v>10</v>
      </c>
      <c r="F15" s="34"/>
      <c r="G15" s="42">
        <v>2014.41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26252</v>
      </c>
      <c r="D17" s="34"/>
      <c r="E17" s="35" t="s">
        <v>278</v>
      </c>
      <c r="F17" s="34"/>
      <c r="G17" s="42">
        <v>5860.98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150"/>
  <sheetViews>
    <sheetView workbookViewId="0">
      <pane ySplit="2" topLeftCell="A60" activePane="bottomLeft" state="frozen"/>
      <selection pane="bottomLeft" activeCell="A70" sqref="A70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6384" width="9.140625" style="147"/>
  </cols>
  <sheetData>
    <row r="1" spans="1:12" x14ac:dyDescent="0.25">
      <c r="A1" s="112" t="s">
        <v>0</v>
      </c>
      <c r="B1" s="115" t="s">
        <v>122</v>
      </c>
      <c r="C1" s="112" t="s">
        <v>5</v>
      </c>
      <c r="D1" s="113" t="s">
        <v>1</v>
      </c>
      <c r="E1" s="114" t="s">
        <v>4</v>
      </c>
      <c r="F1" s="113" t="s">
        <v>2</v>
      </c>
      <c r="G1" s="114" t="s">
        <v>4</v>
      </c>
      <c r="H1" s="113" t="s">
        <v>3</v>
      </c>
      <c r="I1" s="114" t="s">
        <v>4</v>
      </c>
      <c r="J1" s="112" t="s">
        <v>9</v>
      </c>
      <c r="K1" s="109" t="s">
        <v>12</v>
      </c>
    </row>
    <row r="2" spans="1:12" x14ac:dyDescent="0.25">
      <c r="A2" s="112" t="s">
        <v>6</v>
      </c>
      <c r="B2" s="115"/>
      <c r="D2" s="107"/>
      <c r="F2" s="107"/>
      <c r="H2" s="107"/>
      <c r="K2" s="104"/>
    </row>
    <row r="3" spans="1:12" s="218" customFormat="1" ht="45" x14ac:dyDescent="0.25">
      <c r="A3" s="213" t="s">
        <v>339</v>
      </c>
      <c r="B3" s="214">
        <v>3038136345</v>
      </c>
      <c r="C3" s="215" t="s">
        <v>384</v>
      </c>
      <c r="D3" s="216"/>
      <c r="E3" s="217"/>
      <c r="F3" s="216">
        <v>1134.8399999999999</v>
      </c>
      <c r="G3" s="217">
        <v>1730</v>
      </c>
      <c r="H3" s="216"/>
      <c r="I3" s="217"/>
      <c r="J3" s="215" t="s">
        <v>10</v>
      </c>
      <c r="K3" s="213"/>
      <c r="L3" s="215"/>
    </row>
    <row r="4" spans="1:12" s="225" customFormat="1" ht="30" x14ac:dyDescent="0.25">
      <c r="A4" s="219" t="s">
        <v>13</v>
      </c>
      <c r="B4" s="220">
        <v>3026210376</v>
      </c>
      <c r="C4" s="221" t="s">
        <v>385</v>
      </c>
      <c r="D4" s="222"/>
      <c r="E4" s="223"/>
      <c r="F4" s="222">
        <v>57.65</v>
      </c>
      <c r="G4" s="223">
        <v>24</v>
      </c>
      <c r="H4" s="222"/>
      <c r="I4" s="223"/>
      <c r="J4" s="224" t="s">
        <v>10</v>
      </c>
      <c r="K4" s="219"/>
      <c r="L4" s="221"/>
    </row>
    <row r="5" spans="1:12" s="225" customFormat="1" ht="30" x14ac:dyDescent="0.25">
      <c r="A5" s="219" t="s">
        <v>36</v>
      </c>
      <c r="B5" s="220">
        <v>3039781986</v>
      </c>
      <c r="C5" s="221" t="s">
        <v>387</v>
      </c>
      <c r="D5" s="222"/>
      <c r="E5" s="223"/>
      <c r="F5" s="222">
        <v>42.5</v>
      </c>
      <c r="G5" s="223">
        <v>0</v>
      </c>
      <c r="H5" s="222"/>
      <c r="I5" s="223"/>
      <c r="J5" s="224" t="s">
        <v>10</v>
      </c>
      <c r="K5" s="219"/>
      <c r="L5" s="221"/>
    </row>
    <row r="6" spans="1:12" s="225" customFormat="1" x14ac:dyDescent="0.25">
      <c r="A6" s="219" t="s">
        <v>34</v>
      </c>
      <c r="B6" s="220">
        <v>3039472917</v>
      </c>
      <c r="C6" s="221" t="s">
        <v>382</v>
      </c>
      <c r="D6" s="222"/>
      <c r="E6" s="223"/>
      <c r="F6" s="222">
        <v>56.4</v>
      </c>
      <c r="G6" s="223">
        <v>742</v>
      </c>
      <c r="H6" s="222"/>
      <c r="I6" s="223"/>
      <c r="J6" s="224" t="s">
        <v>10</v>
      </c>
      <c r="K6" s="219"/>
      <c r="L6" s="221"/>
    </row>
    <row r="7" spans="1:12" s="225" customFormat="1" x14ac:dyDescent="0.25">
      <c r="A7" s="219" t="s">
        <v>37</v>
      </c>
      <c r="B7" s="220">
        <v>4005211270</v>
      </c>
      <c r="C7" s="221" t="s">
        <v>386</v>
      </c>
      <c r="D7" s="222"/>
      <c r="E7" s="223"/>
      <c r="F7" s="222">
        <v>41.51</v>
      </c>
      <c r="G7" s="223">
        <v>8</v>
      </c>
      <c r="H7" s="222"/>
      <c r="I7" s="223"/>
      <c r="J7" s="224" t="s">
        <v>10</v>
      </c>
      <c r="K7" s="219"/>
      <c r="L7" s="221"/>
    </row>
    <row r="8" spans="1:12" s="225" customFormat="1" ht="45" x14ac:dyDescent="0.25">
      <c r="A8" s="219" t="s">
        <v>41</v>
      </c>
      <c r="B8" s="220">
        <v>3044004323</v>
      </c>
      <c r="C8" s="221" t="s">
        <v>389</v>
      </c>
      <c r="D8" s="222"/>
      <c r="E8" s="223"/>
      <c r="F8" s="222">
        <v>56.26</v>
      </c>
      <c r="G8" s="223">
        <v>15</v>
      </c>
      <c r="H8" s="222"/>
      <c r="I8" s="223"/>
      <c r="J8" s="224" t="s">
        <v>10</v>
      </c>
      <c r="K8" s="219"/>
      <c r="L8" s="221"/>
    </row>
    <row r="9" spans="1:12" s="225" customFormat="1" ht="45" x14ac:dyDescent="0.25">
      <c r="A9" s="219" t="s">
        <v>42</v>
      </c>
      <c r="B9" s="220">
        <v>3029257704</v>
      </c>
      <c r="C9" s="221" t="s">
        <v>385</v>
      </c>
      <c r="D9" s="222"/>
      <c r="E9" s="223"/>
      <c r="F9" s="222">
        <v>49.3</v>
      </c>
      <c r="G9" s="223">
        <v>3</v>
      </c>
      <c r="H9" s="222"/>
      <c r="I9" s="223"/>
      <c r="J9" s="224" t="s">
        <v>10</v>
      </c>
      <c r="K9" s="219"/>
      <c r="L9" s="221"/>
    </row>
    <row r="10" spans="1:12" s="225" customFormat="1" ht="30" x14ac:dyDescent="0.25">
      <c r="A10" s="219" t="s">
        <v>44</v>
      </c>
      <c r="B10" s="220">
        <v>3039640691</v>
      </c>
      <c r="C10" s="221" t="s">
        <v>390</v>
      </c>
      <c r="D10" s="222"/>
      <c r="E10" s="223"/>
      <c r="F10" s="222">
        <v>58.92</v>
      </c>
      <c r="G10" s="223">
        <v>26</v>
      </c>
      <c r="H10" s="222"/>
      <c r="I10" s="223"/>
      <c r="J10" s="224" t="s">
        <v>10</v>
      </c>
      <c r="K10" s="219"/>
      <c r="L10" s="221"/>
    </row>
    <row r="11" spans="1:12" s="225" customFormat="1" ht="30" x14ac:dyDescent="0.25">
      <c r="A11" s="219" t="s">
        <v>43</v>
      </c>
      <c r="B11" s="220">
        <v>3039782225</v>
      </c>
      <c r="C11" s="221" t="s">
        <v>390</v>
      </c>
      <c r="D11" s="222"/>
      <c r="E11" s="223"/>
      <c r="F11" s="222">
        <v>102.49</v>
      </c>
      <c r="G11" s="223">
        <v>95</v>
      </c>
      <c r="H11" s="222"/>
      <c r="I11" s="223"/>
      <c r="J11" s="224" t="s">
        <v>10</v>
      </c>
      <c r="K11" s="219"/>
      <c r="L11" s="221"/>
    </row>
    <row r="12" spans="1:12" s="225" customFormat="1" ht="45" x14ac:dyDescent="0.25">
      <c r="A12" s="219" t="s">
        <v>45</v>
      </c>
      <c r="B12" s="220">
        <v>3039618715</v>
      </c>
      <c r="C12" s="221" t="s">
        <v>389</v>
      </c>
      <c r="D12" s="222"/>
      <c r="E12" s="223"/>
      <c r="F12" s="222">
        <v>49.3</v>
      </c>
      <c r="G12" s="223">
        <v>3</v>
      </c>
      <c r="H12" s="222"/>
      <c r="I12" s="223"/>
      <c r="J12" s="224" t="s">
        <v>10</v>
      </c>
      <c r="K12" s="219"/>
      <c r="L12" s="221"/>
    </row>
    <row r="13" spans="1:12" s="225" customFormat="1" ht="30" x14ac:dyDescent="0.25">
      <c r="A13" s="219" t="s">
        <v>46</v>
      </c>
      <c r="B13" s="220">
        <v>3023189549</v>
      </c>
      <c r="C13" s="221" t="s">
        <v>386</v>
      </c>
      <c r="D13" s="222"/>
      <c r="E13" s="223"/>
      <c r="F13" s="222">
        <v>42.5</v>
      </c>
      <c r="G13" s="223">
        <v>0</v>
      </c>
      <c r="H13" s="222"/>
      <c r="I13" s="223"/>
      <c r="J13" s="224" t="s">
        <v>10</v>
      </c>
      <c r="K13" s="219"/>
      <c r="L13" s="221"/>
    </row>
    <row r="14" spans="1:12" s="225" customFormat="1" ht="30" x14ac:dyDescent="0.25">
      <c r="A14" s="219" t="s">
        <v>47</v>
      </c>
      <c r="B14" s="220">
        <v>3034878837</v>
      </c>
      <c r="C14" s="221" t="s">
        <v>388</v>
      </c>
      <c r="D14" s="222"/>
      <c r="E14" s="223"/>
      <c r="F14" s="222">
        <v>46.92</v>
      </c>
      <c r="G14" s="223">
        <v>7</v>
      </c>
      <c r="H14" s="222"/>
      <c r="I14" s="223"/>
      <c r="J14" s="224" t="s">
        <v>10</v>
      </c>
      <c r="K14" s="219"/>
      <c r="L14" s="221"/>
    </row>
    <row r="15" spans="1:12" s="225" customFormat="1" ht="30" x14ac:dyDescent="0.25">
      <c r="A15" s="219" t="s">
        <v>64</v>
      </c>
      <c r="B15" s="220">
        <v>3025670416</v>
      </c>
      <c r="C15" s="221" t="s">
        <v>386</v>
      </c>
      <c r="D15" s="222"/>
      <c r="E15" s="223"/>
      <c r="F15" s="222">
        <v>50.07</v>
      </c>
      <c r="G15" s="223">
        <v>12</v>
      </c>
      <c r="H15" s="222"/>
      <c r="I15" s="223"/>
      <c r="J15" s="224" t="s">
        <v>10</v>
      </c>
      <c r="K15" s="219"/>
      <c r="L15" s="221"/>
    </row>
    <row r="16" spans="1:12" s="225" customFormat="1" ht="30" x14ac:dyDescent="0.25">
      <c r="A16" s="219" t="s">
        <v>65</v>
      </c>
      <c r="B16" s="220">
        <v>3023110891</v>
      </c>
      <c r="C16" s="221" t="s">
        <v>388</v>
      </c>
      <c r="D16" s="222"/>
      <c r="E16" s="223"/>
      <c r="F16" s="222">
        <v>145.41999999999999</v>
      </c>
      <c r="G16" s="223">
        <v>163</v>
      </c>
      <c r="H16" s="222"/>
      <c r="I16" s="223"/>
      <c r="J16" s="224" t="s">
        <v>10</v>
      </c>
      <c r="K16" s="219"/>
      <c r="L16" s="221"/>
    </row>
    <row r="17" spans="1:12" s="225" customFormat="1" ht="30" x14ac:dyDescent="0.25">
      <c r="A17" s="219" t="s">
        <v>69</v>
      </c>
      <c r="B17" s="220">
        <v>3022125574</v>
      </c>
      <c r="C17" s="224" t="s">
        <v>396</v>
      </c>
      <c r="D17" s="222"/>
      <c r="E17" s="223"/>
      <c r="F17" s="222">
        <v>37.83</v>
      </c>
      <c r="G17" s="223">
        <v>24</v>
      </c>
      <c r="H17" s="222"/>
      <c r="I17" s="223"/>
      <c r="J17" s="224" t="s">
        <v>10</v>
      </c>
      <c r="K17" s="219"/>
      <c r="L17" s="221"/>
    </row>
    <row r="18" spans="1:12" s="225" customFormat="1" ht="30" x14ac:dyDescent="0.25">
      <c r="A18" s="219" t="s">
        <v>68</v>
      </c>
      <c r="B18" s="220">
        <v>3022125841</v>
      </c>
      <c r="C18" s="224" t="s">
        <v>396</v>
      </c>
      <c r="D18" s="222"/>
      <c r="E18" s="223"/>
      <c r="F18" s="222">
        <v>42.5</v>
      </c>
      <c r="G18" s="223">
        <v>0</v>
      </c>
      <c r="H18" s="222"/>
      <c r="I18" s="223"/>
      <c r="J18" s="224" t="s">
        <v>10</v>
      </c>
      <c r="K18" s="219"/>
      <c r="L18" s="221"/>
    </row>
    <row r="19" spans="1:12" s="199" customFormat="1" x14ac:dyDescent="0.25">
      <c r="A19" s="192" t="s">
        <v>25</v>
      </c>
      <c r="B19" s="193"/>
      <c r="C19" s="194"/>
      <c r="D19" s="195"/>
      <c r="E19" s="196"/>
      <c r="F19" s="195"/>
      <c r="G19" s="196"/>
      <c r="H19" s="195"/>
      <c r="I19" s="196"/>
      <c r="J19" s="194"/>
      <c r="K19" s="197"/>
      <c r="L19" s="198"/>
    </row>
    <row r="20" spans="1:12" s="149" customFormat="1" ht="30" x14ac:dyDescent="0.25">
      <c r="A20" s="117" t="s">
        <v>310</v>
      </c>
      <c r="B20" s="118">
        <v>8463322</v>
      </c>
      <c r="C20" s="119" t="s">
        <v>398</v>
      </c>
      <c r="D20" s="120">
        <v>4941.3</v>
      </c>
      <c r="E20" s="121">
        <v>78200</v>
      </c>
      <c r="F20" s="120"/>
      <c r="G20" s="121"/>
      <c r="H20" s="120"/>
      <c r="I20" s="121"/>
      <c r="J20" s="122" t="s">
        <v>33</v>
      </c>
      <c r="K20" s="117"/>
      <c r="L20" s="119"/>
    </row>
    <row r="21" spans="1:12" s="149" customFormat="1" ht="30" x14ac:dyDescent="0.25">
      <c r="A21" s="117" t="s">
        <v>113</v>
      </c>
      <c r="B21" s="118">
        <v>5089282</v>
      </c>
      <c r="C21" s="119" t="s">
        <v>399</v>
      </c>
      <c r="D21" s="120">
        <v>62.94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</row>
    <row r="22" spans="1:12" s="149" customFormat="1" ht="30" x14ac:dyDescent="0.25">
      <c r="A22" s="117" t="s">
        <v>252</v>
      </c>
      <c r="B22" s="122">
        <v>8239130</v>
      </c>
      <c r="C22" s="119" t="s">
        <v>399</v>
      </c>
      <c r="D22" s="120">
        <v>24.45</v>
      </c>
      <c r="E22" s="121">
        <v>126</v>
      </c>
      <c r="F22" s="120"/>
      <c r="G22" s="121"/>
      <c r="H22" s="120"/>
      <c r="I22" s="121"/>
      <c r="J22" s="122" t="s">
        <v>33</v>
      </c>
      <c r="K22" s="117"/>
      <c r="L22" s="119"/>
    </row>
    <row r="23" spans="1:12" s="149" customFormat="1" ht="30" x14ac:dyDescent="0.25">
      <c r="A23" s="117" t="s">
        <v>114</v>
      </c>
      <c r="B23" s="118">
        <v>5089344</v>
      </c>
      <c r="C23" s="119" t="s">
        <v>399</v>
      </c>
      <c r="D23" s="120">
        <v>31.01</v>
      </c>
      <c r="E23" s="121">
        <v>210</v>
      </c>
      <c r="F23" s="120"/>
      <c r="G23" s="121"/>
      <c r="H23" s="120"/>
      <c r="I23" s="121"/>
      <c r="J23" s="122" t="s">
        <v>33</v>
      </c>
      <c r="K23" s="117"/>
      <c r="L23" s="119"/>
    </row>
    <row r="24" spans="1:12" s="149" customFormat="1" ht="30" x14ac:dyDescent="0.25">
      <c r="A24" s="117" t="s">
        <v>19</v>
      </c>
      <c r="B24" s="118">
        <v>7010755</v>
      </c>
      <c r="C24" s="119" t="s">
        <v>399</v>
      </c>
      <c r="D24" s="120">
        <v>15.22</v>
      </c>
      <c r="E24" s="121">
        <v>8</v>
      </c>
      <c r="F24" s="120"/>
      <c r="G24" s="121"/>
      <c r="H24" s="120"/>
      <c r="I24" s="121"/>
      <c r="J24" s="122" t="s">
        <v>33</v>
      </c>
      <c r="K24" s="117"/>
      <c r="L24" s="119"/>
    </row>
    <row r="25" spans="1:12" s="149" customFormat="1" ht="30" x14ac:dyDescent="0.25">
      <c r="A25" s="117" t="s">
        <v>115</v>
      </c>
      <c r="B25" s="118">
        <v>9261200</v>
      </c>
      <c r="C25" s="119" t="s">
        <v>399</v>
      </c>
      <c r="D25" s="120">
        <v>119.55</v>
      </c>
      <c r="E25" s="121">
        <v>1297</v>
      </c>
      <c r="F25" s="120"/>
      <c r="G25" s="121"/>
      <c r="H25" s="120"/>
      <c r="I25" s="121"/>
      <c r="J25" s="122" t="s">
        <v>33</v>
      </c>
      <c r="K25" s="117"/>
      <c r="L25" s="119"/>
    </row>
    <row r="26" spans="1:12" s="149" customFormat="1" ht="30" x14ac:dyDescent="0.25">
      <c r="A26" s="117" t="s">
        <v>116</v>
      </c>
      <c r="B26" s="118">
        <v>5105092</v>
      </c>
      <c r="C26" s="119" t="s">
        <v>399</v>
      </c>
      <c r="D26" s="120">
        <v>350.2</v>
      </c>
      <c r="E26" s="121">
        <v>3516</v>
      </c>
      <c r="F26" s="120"/>
      <c r="G26" s="121"/>
      <c r="H26" s="120"/>
      <c r="I26" s="121"/>
      <c r="J26" s="122" t="s">
        <v>33</v>
      </c>
      <c r="K26" s="117"/>
      <c r="L26" s="119"/>
    </row>
    <row r="27" spans="1:12" s="149" customFormat="1" ht="30" x14ac:dyDescent="0.25">
      <c r="A27" s="117" t="s">
        <v>119</v>
      </c>
      <c r="B27" s="118">
        <v>5074402</v>
      </c>
      <c r="C27" s="119" t="s">
        <v>399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</row>
    <row r="28" spans="1:12" s="149" customFormat="1" ht="30" x14ac:dyDescent="0.25">
      <c r="A28" s="117" t="s">
        <v>248</v>
      </c>
      <c r="B28" s="118">
        <v>5264802</v>
      </c>
      <c r="C28" s="119" t="s">
        <v>399</v>
      </c>
      <c r="D28" s="120">
        <v>112.54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</row>
    <row r="29" spans="1:12" s="149" customFormat="1" x14ac:dyDescent="0.25">
      <c r="A29" s="117" t="s">
        <v>264</v>
      </c>
      <c r="B29" s="118">
        <v>8234139</v>
      </c>
      <c r="C29" s="138" t="s">
        <v>399</v>
      </c>
      <c r="D29" s="139">
        <v>20.149999999999999</v>
      </c>
      <c r="E29" s="121">
        <v>71</v>
      </c>
      <c r="F29" s="120"/>
      <c r="G29" s="121"/>
      <c r="H29" s="120"/>
      <c r="I29" s="121"/>
      <c r="J29" s="122" t="s">
        <v>33</v>
      </c>
      <c r="K29" s="117"/>
      <c r="L29" s="119"/>
    </row>
    <row r="30" spans="1:12" s="149" customFormat="1" x14ac:dyDescent="0.25">
      <c r="A30" s="117" t="s">
        <v>250</v>
      </c>
      <c r="B30" s="118">
        <v>5074495</v>
      </c>
      <c r="C30" s="119" t="s">
        <v>399</v>
      </c>
      <c r="D30" s="120">
        <v>14.6</v>
      </c>
      <c r="E30" s="121">
        <v>234</v>
      </c>
      <c r="F30" s="120"/>
      <c r="G30" s="121"/>
      <c r="H30" s="120"/>
      <c r="I30" s="121"/>
      <c r="J30" s="122" t="s">
        <v>33</v>
      </c>
      <c r="K30" s="117"/>
      <c r="L30" s="119"/>
    </row>
    <row r="31" spans="1:12" s="149" customFormat="1" ht="45" x14ac:dyDescent="0.25">
      <c r="A31" s="117" t="s">
        <v>123</v>
      </c>
      <c r="B31" s="118">
        <v>5036644</v>
      </c>
      <c r="C31" s="119" t="s">
        <v>401</v>
      </c>
      <c r="D31" s="120">
        <v>161.52000000000001</v>
      </c>
      <c r="E31" s="121">
        <v>330</v>
      </c>
      <c r="F31" s="120"/>
      <c r="G31" s="121"/>
      <c r="H31" s="120"/>
      <c r="I31" s="121"/>
      <c r="J31" s="122" t="s">
        <v>33</v>
      </c>
      <c r="K31" s="117"/>
      <c r="L31" s="119"/>
    </row>
    <row r="32" spans="1:12" s="149" customFormat="1" ht="30" x14ac:dyDescent="0.25">
      <c r="A32" s="117" t="s">
        <v>127</v>
      </c>
      <c r="B32" s="118">
        <v>5020429</v>
      </c>
      <c r="C32" s="119" t="s">
        <v>401</v>
      </c>
      <c r="D32" s="120">
        <v>22.21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</row>
    <row r="33" spans="1:12" s="149" customFormat="1" ht="45" x14ac:dyDescent="0.25">
      <c r="A33" s="117" t="s">
        <v>125</v>
      </c>
      <c r="B33" s="118">
        <v>6722734</v>
      </c>
      <c r="C33" s="119" t="s">
        <v>401</v>
      </c>
      <c r="D33" s="120">
        <v>197.68</v>
      </c>
      <c r="E33" s="121">
        <v>795</v>
      </c>
      <c r="F33" s="120"/>
      <c r="G33" s="121"/>
      <c r="H33" s="120"/>
      <c r="I33" s="121"/>
      <c r="J33" s="122" t="s">
        <v>33</v>
      </c>
      <c r="K33" s="117"/>
      <c r="L33" s="119"/>
    </row>
    <row r="34" spans="1:12" s="151" customFormat="1" ht="30" x14ac:dyDescent="0.25">
      <c r="A34" s="160" t="s">
        <v>126</v>
      </c>
      <c r="B34" s="226">
        <v>5037202</v>
      </c>
      <c r="C34" s="165" t="s">
        <v>401</v>
      </c>
      <c r="D34" s="163">
        <v>156.54</v>
      </c>
      <c r="E34" s="164">
        <v>1856</v>
      </c>
      <c r="F34" s="163"/>
      <c r="G34" s="164"/>
      <c r="H34" s="163"/>
      <c r="I34" s="164"/>
      <c r="J34" s="162" t="s">
        <v>33</v>
      </c>
      <c r="K34" s="160"/>
      <c r="L34" s="165"/>
    </row>
    <row r="35" spans="1:12" s="151" customFormat="1" ht="30" x14ac:dyDescent="0.25">
      <c r="A35" s="160" t="s">
        <v>128</v>
      </c>
      <c r="B35" s="161">
        <v>5037326</v>
      </c>
      <c r="C35" s="165" t="s">
        <v>401</v>
      </c>
      <c r="D35" s="163">
        <v>46.04</v>
      </c>
      <c r="E35" s="164">
        <v>414</v>
      </c>
      <c r="F35" s="163"/>
      <c r="G35" s="164"/>
      <c r="H35" s="163"/>
      <c r="I35" s="164"/>
      <c r="J35" s="162" t="s">
        <v>33</v>
      </c>
      <c r="K35" s="160"/>
      <c r="L35" s="165"/>
    </row>
    <row r="36" spans="1:12" s="149" customFormat="1" x14ac:dyDescent="0.25">
      <c r="A36" s="117" t="s">
        <v>37</v>
      </c>
      <c r="B36" s="118">
        <v>5064854</v>
      </c>
      <c r="C36" s="119" t="s">
        <v>401</v>
      </c>
      <c r="D36" s="120">
        <v>592.99</v>
      </c>
      <c r="E36" s="121">
        <v>6480</v>
      </c>
      <c r="F36" s="120"/>
      <c r="G36" s="121"/>
      <c r="H36" s="120"/>
      <c r="I36" s="121"/>
      <c r="J36" s="122" t="s">
        <v>33</v>
      </c>
      <c r="K36" s="117"/>
      <c r="L36" s="119"/>
    </row>
    <row r="37" spans="1:12" s="149" customFormat="1" ht="30" x14ac:dyDescent="0.25">
      <c r="A37" s="117" t="s">
        <v>32</v>
      </c>
      <c r="B37" s="118">
        <v>5021826</v>
      </c>
      <c r="C37" s="119" t="s">
        <v>401</v>
      </c>
      <c r="D37" s="120">
        <v>47.49</v>
      </c>
      <c r="E37" s="121">
        <v>421</v>
      </c>
      <c r="F37" s="120"/>
      <c r="G37" s="121"/>
      <c r="H37" s="120"/>
      <c r="I37" s="121"/>
      <c r="J37" s="122" t="s">
        <v>33</v>
      </c>
      <c r="K37" s="117"/>
      <c r="L37" s="119"/>
    </row>
    <row r="38" spans="1:12" s="149" customFormat="1" ht="45" x14ac:dyDescent="0.25">
      <c r="A38" s="117" t="s">
        <v>129</v>
      </c>
      <c r="B38" s="118">
        <v>4964784</v>
      </c>
      <c r="C38" s="119" t="s">
        <v>401</v>
      </c>
      <c r="D38" s="120">
        <v>22.65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</row>
    <row r="39" spans="1:12" s="149" customFormat="1" ht="30" x14ac:dyDescent="0.25">
      <c r="A39" s="117" t="s">
        <v>254</v>
      </c>
      <c r="B39" s="118">
        <v>4955887</v>
      </c>
      <c r="C39" s="119" t="s">
        <v>399</v>
      </c>
      <c r="D39" s="120">
        <v>25.72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</row>
    <row r="40" spans="1:12" s="149" customFormat="1" ht="30" x14ac:dyDescent="0.25">
      <c r="A40" s="117" t="s">
        <v>64</v>
      </c>
      <c r="B40" s="118">
        <v>4932391</v>
      </c>
      <c r="C40" s="119" t="s">
        <v>399</v>
      </c>
      <c r="D40" s="120">
        <v>234.99</v>
      </c>
      <c r="E40" s="121">
        <v>1971</v>
      </c>
      <c r="F40" s="120"/>
      <c r="G40" s="121"/>
      <c r="H40" s="120"/>
      <c r="I40" s="121"/>
      <c r="J40" s="122" t="s">
        <v>33</v>
      </c>
      <c r="K40" s="117"/>
      <c r="L40" s="119"/>
    </row>
    <row r="41" spans="1:12" s="149" customFormat="1" ht="30" x14ac:dyDescent="0.25">
      <c r="A41" s="117" t="s">
        <v>28</v>
      </c>
      <c r="B41" s="118">
        <v>5265050</v>
      </c>
      <c r="C41" s="119" t="s">
        <v>378</v>
      </c>
      <c r="D41" s="120">
        <v>22.58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</row>
    <row r="42" spans="1:12" s="149" customFormat="1" ht="30" x14ac:dyDescent="0.25">
      <c r="A42" s="117" t="s">
        <v>29</v>
      </c>
      <c r="B42" s="118">
        <v>5265019</v>
      </c>
      <c r="C42" s="119" t="s">
        <v>379</v>
      </c>
      <c r="D42" s="120">
        <v>16.05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</row>
    <row r="43" spans="1:12" s="149" customFormat="1" ht="30" x14ac:dyDescent="0.25">
      <c r="A43" s="117" t="s">
        <v>243</v>
      </c>
      <c r="B43" s="118">
        <v>4426005</v>
      </c>
      <c r="C43" s="119" t="s">
        <v>401</v>
      </c>
      <c r="D43" s="120">
        <v>1205.79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</row>
    <row r="44" spans="1:12" s="149" customFormat="1" ht="30" x14ac:dyDescent="0.25">
      <c r="A44" s="143" t="s">
        <v>22</v>
      </c>
      <c r="B44" s="118">
        <v>5264554</v>
      </c>
      <c r="C44" s="119" t="s">
        <v>401</v>
      </c>
      <c r="D44" s="120">
        <v>25.73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</row>
    <row r="45" spans="1:12" s="149" customFormat="1" ht="30" x14ac:dyDescent="0.25">
      <c r="A45" s="117" t="s">
        <v>241</v>
      </c>
      <c r="B45" s="118">
        <v>4912148</v>
      </c>
      <c r="C45" s="119" t="s">
        <v>401</v>
      </c>
      <c r="D45" s="120">
        <v>300.27999999999997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</row>
    <row r="46" spans="1:12" s="149" customFormat="1" ht="30" x14ac:dyDescent="0.25">
      <c r="A46" s="117" t="s">
        <v>242</v>
      </c>
      <c r="B46" s="118">
        <v>4426036</v>
      </c>
      <c r="C46" s="119" t="s">
        <v>401</v>
      </c>
      <c r="D46" s="120">
        <v>364.72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</row>
    <row r="47" spans="1:12" s="149" customFormat="1" x14ac:dyDescent="0.25">
      <c r="A47" s="117" t="s">
        <v>34</v>
      </c>
      <c r="B47" s="118">
        <v>5028615</v>
      </c>
      <c r="C47" s="119" t="s">
        <v>401</v>
      </c>
      <c r="D47" s="120">
        <v>788.36</v>
      </c>
      <c r="E47" s="121">
        <v>6680</v>
      </c>
      <c r="F47" s="120"/>
      <c r="G47" s="121"/>
      <c r="H47" s="120"/>
      <c r="I47" s="121"/>
      <c r="J47" s="122" t="s">
        <v>33</v>
      </c>
      <c r="K47" s="117"/>
      <c r="L47" s="119"/>
    </row>
    <row r="48" spans="1:12" s="149" customFormat="1" ht="30" x14ac:dyDescent="0.25">
      <c r="A48" s="117" t="s">
        <v>47</v>
      </c>
      <c r="B48" s="118">
        <v>4914628</v>
      </c>
      <c r="C48" s="138" t="s">
        <v>381</v>
      </c>
      <c r="D48" s="120">
        <v>686.84</v>
      </c>
      <c r="E48" s="121">
        <v>6947</v>
      </c>
      <c r="F48" s="120"/>
      <c r="G48" s="121"/>
      <c r="H48" s="120"/>
      <c r="I48" s="121"/>
      <c r="J48" s="122" t="s">
        <v>33</v>
      </c>
      <c r="K48" s="117"/>
      <c r="L48" s="119"/>
    </row>
    <row r="49" spans="1:12" s="149" customFormat="1" ht="30" x14ac:dyDescent="0.25">
      <c r="A49" s="117" t="s">
        <v>46</v>
      </c>
      <c r="B49" s="118">
        <v>5027654</v>
      </c>
      <c r="C49" s="119" t="s">
        <v>401</v>
      </c>
      <c r="D49" s="120">
        <v>233.34</v>
      </c>
      <c r="E49" s="121">
        <v>2405</v>
      </c>
      <c r="F49" s="120"/>
      <c r="G49" s="121"/>
      <c r="H49" s="120"/>
      <c r="I49" s="121"/>
      <c r="J49" s="122" t="s">
        <v>33</v>
      </c>
      <c r="K49" s="117"/>
      <c r="L49" s="119"/>
    </row>
    <row r="50" spans="1:12" s="149" customFormat="1" ht="30" x14ac:dyDescent="0.25">
      <c r="A50" s="117" t="s">
        <v>48</v>
      </c>
      <c r="B50" s="118">
        <v>5262911</v>
      </c>
      <c r="C50" s="119" t="s">
        <v>401</v>
      </c>
      <c r="D50" s="120">
        <v>16.079999999999998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</row>
    <row r="51" spans="1:12" s="149" customFormat="1" ht="30" x14ac:dyDescent="0.25">
      <c r="A51" s="117" t="s">
        <v>244</v>
      </c>
      <c r="B51" s="118">
        <v>8184322</v>
      </c>
      <c r="C51" s="119" t="s">
        <v>401</v>
      </c>
      <c r="D51" s="120">
        <v>639.1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</row>
    <row r="52" spans="1:12" s="149" customFormat="1" ht="30" x14ac:dyDescent="0.25">
      <c r="A52" s="117" t="s">
        <v>38</v>
      </c>
      <c r="B52" s="118">
        <v>5231911</v>
      </c>
      <c r="C52" s="119" t="s">
        <v>401</v>
      </c>
      <c r="D52" s="120">
        <v>22.65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</row>
    <row r="53" spans="1:12" s="149" customFormat="1" ht="30" x14ac:dyDescent="0.25">
      <c r="A53" s="117" t="s">
        <v>17</v>
      </c>
      <c r="B53" s="118">
        <v>8934894</v>
      </c>
      <c r="C53" s="119" t="s">
        <v>401</v>
      </c>
      <c r="D53" s="120">
        <v>15.06</v>
      </c>
      <c r="E53" s="121">
        <v>6</v>
      </c>
      <c r="F53" s="120"/>
      <c r="G53" s="121"/>
      <c r="H53" s="120"/>
      <c r="I53" s="121"/>
      <c r="J53" s="122" t="s">
        <v>33</v>
      </c>
      <c r="K53" s="117"/>
      <c r="L53" s="119"/>
    </row>
    <row r="54" spans="1:12" s="149" customFormat="1" ht="30" x14ac:dyDescent="0.25">
      <c r="A54" s="117" t="s">
        <v>240</v>
      </c>
      <c r="B54" s="118">
        <v>5031405</v>
      </c>
      <c r="C54" s="119" t="s">
        <v>401</v>
      </c>
      <c r="D54" s="120">
        <v>1267.57</v>
      </c>
      <c r="E54" s="121">
        <v>13260</v>
      </c>
      <c r="F54" s="120"/>
      <c r="G54" s="121"/>
      <c r="H54" s="120"/>
      <c r="I54" s="121"/>
      <c r="J54" s="122" t="s">
        <v>33</v>
      </c>
      <c r="K54" s="117"/>
      <c r="L54" s="119"/>
    </row>
    <row r="55" spans="1:12" s="149" customFormat="1" ht="30" x14ac:dyDescent="0.25">
      <c r="A55" s="117" t="s">
        <v>26</v>
      </c>
      <c r="B55" s="118">
        <v>149091</v>
      </c>
      <c r="C55" s="119" t="s">
        <v>379</v>
      </c>
      <c r="D55" s="120">
        <v>18.79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</row>
    <row r="56" spans="1:12" s="149" customFormat="1" ht="30" x14ac:dyDescent="0.25">
      <c r="A56" s="117" t="s">
        <v>30</v>
      </c>
      <c r="B56" s="118">
        <v>4914473</v>
      </c>
      <c r="C56" s="119" t="s">
        <v>379</v>
      </c>
      <c r="D56" s="120">
        <v>1170.44</v>
      </c>
      <c r="E56" s="121">
        <v>17100</v>
      </c>
      <c r="F56" s="120"/>
      <c r="G56" s="121"/>
      <c r="H56" s="120"/>
      <c r="I56" s="121"/>
      <c r="J56" s="122" t="s">
        <v>33</v>
      </c>
      <c r="K56" s="117"/>
      <c r="L56" s="119"/>
    </row>
    <row r="57" spans="1:12" s="149" customFormat="1" ht="30" x14ac:dyDescent="0.25">
      <c r="A57" s="117" t="s">
        <v>244</v>
      </c>
      <c r="B57" s="118">
        <v>117936</v>
      </c>
      <c r="C57" s="119" t="s">
        <v>401</v>
      </c>
      <c r="D57" s="120">
        <v>135.4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</row>
    <row r="58" spans="1:12" s="149" customFormat="1" ht="60" x14ac:dyDescent="0.25">
      <c r="A58" s="117" t="s">
        <v>153</v>
      </c>
      <c r="B58" s="118">
        <v>8327232</v>
      </c>
      <c r="C58" s="119" t="s">
        <v>399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</row>
    <row r="59" spans="1:12" s="149" customFormat="1" ht="30" x14ac:dyDescent="0.25">
      <c r="A59" s="117" t="s">
        <v>255</v>
      </c>
      <c r="B59" s="118">
        <v>6973803</v>
      </c>
      <c r="C59" s="119" t="s">
        <v>399</v>
      </c>
      <c r="D59" s="120">
        <v>14.6</v>
      </c>
      <c r="E59" s="121">
        <v>0</v>
      </c>
      <c r="F59" s="120"/>
      <c r="G59" s="121"/>
      <c r="H59" s="120"/>
      <c r="I59" s="121"/>
      <c r="J59" s="122" t="s">
        <v>33</v>
      </c>
      <c r="K59" s="117"/>
      <c r="L59" s="119"/>
    </row>
    <row r="60" spans="1:12" s="149" customFormat="1" ht="30" x14ac:dyDescent="0.25">
      <c r="A60" s="117" t="s">
        <v>150</v>
      </c>
      <c r="B60" s="118">
        <v>7480591</v>
      </c>
      <c r="C60" s="119" t="s">
        <v>399</v>
      </c>
      <c r="D60" s="120">
        <v>739.63</v>
      </c>
      <c r="E60" s="121">
        <v>9436</v>
      </c>
      <c r="F60" s="120"/>
      <c r="G60" s="121"/>
      <c r="H60" s="120"/>
      <c r="I60" s="121"/>
      <c r="J60" s="122" t="s">
        <v>33</v>
      </c>
      <c r="K60" s="117"/>
      <c r="L60" s="119"/>
    </row>
    <row r="61" spans="1:12" s="149" customFormat="1" ht="30" x14ac:dyDescent="0.25">
      <c r="A61" s="117" t="s">
        <v>253</v>
      </c>
      <c r="B61" s="118">
        <v>4934809</v>
      </c>
      <c r="C61" s="119" t="s">
        <v>395</v>
      </c>
      <c r="D61" s="120">
        <v>24.12</v>
      </c>
      <c r="E61" s="121">
        <v>120</v>
      </c>
      <c r="F61" s="120"/>
      <c r="G61" s="121"/>
      <c r="H61" s="120"/>
      <c r="I61" s="121"/>
      <c r="J61" s="122" t="s">
        <v>33</v>
      </c>
      <c r="K61" s="117"/>
      <c r="L61" s="119"/>
    </row>
    <row r="62" spans="1:12" s="151" customFormat="1" ht="30" x14ac:dyDescent="0.25">
      <c r="A62" s="160" t="s">
        <v>152</v>
      </c>
      <c r="B62" s="161">
        <v>9498071</v>
      </c>
      <c r="C62" s="165" t="s">
        <v>399</v>
      </c>
      <c r="D62" s="163">
        <v>198.44</v>
      </c>
      <c r="E62" s="164">
        <v>640</v>
      </c>
      <c r="F62" s="163"/>
      <c r="G62" s="164"/>
      <c r="H62" s="163"/>
      <c r="I62" s="164"/>
      <c r="J62" s="162" t="s">
        <v>33</v>
      </c>
      <c r="K62" s="160"/>
      <c r="L62" s="165"/>
    </row>
    <row r="63" spans="1:12" s="149" customFormat="1" ht="30" x14ac:dyDescent="0.25">
      <c r="A63" s="117" t="s">
        <v>245</v>
      </c>
      <c r="B63" s="118">
        <v>4962800</v>
      </c>
      <c r="C63" s="119" t="s">
        <v>399</v>
      </c>
      <c r="D63" s="120">
        <v>27.3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</row>
    <row r="64" spans="1:12" s="151" customFormat="1" ht="30" x14ac:dyDescent="0.25">
      <c r="A64" s="160" t="s">
        <v>151</v>
      </c>
      <c r="B64" s="161">
        <v>710315</v>
      </c>
      <c r="C64" s="165" t="s">
        <v>399</v>
      </c>
      <c r="D64" s="163">
        <v>14.6</v>
      </c>
      <c r="E64" s="164">
        <v>0</v>
      </c>
      <c r="F64" s="163"/>
      <c r="G64" s="164"/>
      <c r="H64" s="163"/>
      <c r="I64" s="164"/>
      <c r="J64" s="162" t="s">
        <v>33</v>
      </c>
      <c r="K64" s="160"/>
      <c r="L64" s="165"/>
    </row>
    <row r="65" spans="1:12" s="149" customFormat="1" ht="30" x14ac:dyDescent="0.25">
      <c r="A65" s="117" t="s">
        <v>24</v>
      </c>
      <c r="B65" s="118">
        <v>4892432</v>
      </c>
      <c r="C65" s="119" t="s">
        <v>395</v>
      </c>
      <c r="D65" s="120">
        <v>97.42</v>
      </c>
      <c r="E65" s="121">
        <v>202</v>
      </c>
      <c r="F65" s="120"/>
      <c r="G65" s="121"/>
      <c r="H65" s="120"/>
      <c r="I65" s="121"/>
      <c r="J65" s="122" t="s">
        <v>33</v>
      </c>
      <c r="K65" s="117"/>
      <c r="L65" s="119"/>
    </row>
    <row r="66" spans="1:12" s="149" customFormat="1" ht="30" x14ac:dyDescent="0.25">
      <c r="A66" s="117" t="s">
        <v>21</v>
      </c>
      <c r="B66" s="118">
        <v>4968878</v>
      </c>
      <c r="C66" s="119" t="s">
        <v>395</v>
      </c>
      <c r="D66" s="120">
        <v>81.760000000000005</v>
      </c>
      <c r="E66" s="121">
        <v>860</v>
      </c>
      <c r="F66" s="120"/>
      <c r="G66" s="121"/>
      <c r="H66" s="120"/>
      <c r="I66" s="121"/>
      <c r="J66" s="122" t="s">
        <v>33</v>
      </c>
      <c r="K66" s="117"/>
      <c r="L66" s="119"/>
    </row>
    <row r="67" spans="1:12" s="149" customFormat="1" ht="30" x14ac:dyDescent="0.25">
      <c r="A67" s="117" t="s">
        <v>31</v>
      </c>
      <c r="B67" s="118">
        <v>5041139</v>
      </c>
      <c r="C67" s="119" t="s">
        <v>395</v>
      </c>
      <c r="D67" s="120">
        <v>37.479999999999997</v>
      </c>
      <c r="E67" s="121">
        <v>293</v>
      </c>
      <c r="F67" s="120"/>
      <c r="G67" s="121"/>
      <c r="H67" s="120"/>
      <c r="I67" s="121"/>
      <c r="J67" s="122" t="s">
        <v>33</v>
      </c>
      <c r="K67" s="117"/>
      <c r="L67" s="119"/>
    </row>
    <row r="68" spans="1:12" s="149" customFormat="1" ht="30" x14ac:dyDescent="0.25">
      <c r="A68" s="117" t="s">
        <v>256</v>
      </c>
      <c r="B68" s="118">
        <v>5276024</v>
      </c>
      <c r="C68" s="119" t="s">
        <v>395</v>
      </c>
      <c r="D68" s="120">
        <v>22.65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</row>
    <row r="69" spans="1:12" s="151" customFormat="1" x14ac:dyDescent="0.25">
      <c r="A69" s="160" t="s">
        <v>250</v>
      </c>
      <c r="B69" s="173">
        <v>7391</v>
      </c>
      <c r="C69" s="165" t="s">
        <v>399</v>
      </c>
      <c r="D69" s="163">
        <v>18.739999999999998</v>
      </c>
      <c r="E69" s="164">
        <v>53</v>
      </c>
      <c r="F69" s="163"/>
      <c r="G69" s="164"/>
      <c r="H69" s="163"/>
      <c r="I69" s="164"/>
      <c r="J69" s="162" t="s">
        <v>33</v>
      </c>
      <c r="K69" s="160"/>
      <c r="L69" s="165"/>
    </row>
    <row r="70" spans="1:12" s="151" customFormat="1" x14ac:dyDescent="0.25">
      <c r="A70" s="160" t="s">
        <v>250</v>
      </c>
      <c r="B70" s="173">
        <v>7422</v>
      </c>
      <c r="C70" s="165" t="s">
        <v>399</v>
      </c>
      <c r="D70" s="163">
        <v>14.6</v>
      </c>
      <c r="E70" s="164">
        <v>0</v>
      </c>
      <c r="F70" s="163"/>
      <c r="G70" s="164"/>
      <c r="H70" s="163"/>
      <c r="I70" s="164"/>
      <c r="J70" s="162" t="s">
        <v>33</v>
      </c>
      <c r="K70" s="160"/>
      <c r="L70" s="165"/>
    </row>
    <row r="71" spans="1:12" s="150" customFormat="1" ht="45" x14ac:dyDescent="0.25">
      <c r="A71" s="109" t="s">
        <v>49</v>
      </c>
      <c r="B71" s="110"/>
      <c r="C71" s="106"/>
      <c r="D71" s="107"/>
      <c r="E71" s="108"/>
      <c r="F71" s="107"/>
      <c r="G71" s="108"/>
      <c r="H71" s="107"/>
      <c r="I71" s="108"/>
      <c r="J71" s="106"/>
      <c r="K71" s="104"/>
      <c r="L71" s="158"/>
    </row>
    <row r="72" spans="1:12" s="149" customFormat="1" ht="60" x14ac:dyDescent="0.25">
      <c r="A72" s="117" t="s">
        <v>51</v>
      </c>
      <c r="B72" s="118" t="s">
        <v>208</v>
      </c>
      <c r="C72" s="138" t="s">
        <v>394</v>
      </c>
      <c r="D72" s="120">
        <v>235</v>
      </c>
      <c r="E72" s="121">
        <v>2103</v>
      </c>
      <c r="F72" s="120"/>
      <c r="G72" s="121"/>
      <c r="H72" s="120"/>
      <c r="I72" s="121"/>
      <c r="J72" s="122" t="s">
        <v>33</v>
      </c>
      <c r="K72" s="117"/>
      <c r="L72" s="119"/>
    </row>
    <row r="73" spans="1:12" s="149" customFormat="1" ht="60" x14ac:dyDescent="0.25">
      <c r="A73" s="117" t="s">
        <v>52</v>
      </c>
      <c r="B73" s="118" t="s">
        <v>209</v>
      </c>
      <c r="C73" s="138" t="s">
        <v>394</v>
      </c>
      <c r="D73" s="120">
        <v>180</v>
      </c>
      <c r="E73" s="121">
        <v>1452</v>
      </c>
      <c r="F73" s="120"/>
      <c r="G73" s="121"/>
      <c r="H73" s="120"/>
      <c r="I73" s="121"/>
      <c r="J73" s="122" t="s">
        <v>33</v>
      </c>
      <c r="K73" s="117"/>
      <c r="L73" s="119"/>
    </row>
    <row r="74" spans="1:12" s="149" customFormat="1" ht="75" x14ac:dyDescent="0.25">
      <c r="A74" s="117" t="s">
        <v>54</v>
      </c>
      <c r="B74" s="118" t="s">
        <v>210</v>
      </c>
      <c r="C74" s="138" t="s">
        <v>394</v>
      </c>
      <c r="D74" s="120">
        <v>74</v>
      </c>
      <c r="E74" s="121">
        <v>421</v>
      </c>
      <c r="F74" s="120"/>
      <c r="G74" s="121"/>
      <c r="H74" s="120"/>
      <c r="I74" s="121"/>
      <c r="J74" s="122" t="s">
        <v>33</v>
      </c>
      <c r="K74" s="117"/>
      <c r="L74" s="119"/>
    </row>
    <row r="75" spans="1:12" s="149" customFormat="1" ht="45" x14ac:dyDescent="0.25">
      <c r="A75" s="117" t="s">
        <v>55</v>
      </c>
      <c r="B75" s="118" t="s">
        <v>212</v>
      </c>
      <c r="C75" s="138" t="s">
        <v>394</v>
      </c>
      <c r="D75" s="120">
        <v>31</v>
      </c>
      <c r="E75" s="121">
        <v>120</v>
      </c>
      <c r="F75" s="120"/>
      <c r="G75" s="121"/>
      <c r="H75" s="120"/>
      <c r="I75" s="121"/>
      <c r="J75" s="122" t="s">
        <v>33</v>
      </c>
      <c r="K75" s="117"/>
      <c r="L75" s="119"/>
    </row>
    <row r="76" spans="1:12" s="149" customFormat="1" ht="45" x14ac:dyDescent="0.25">
      <c r="A76" s="117" t="s">
        <v>56</v>
      </c>
      <c r="B76" s="118" t="s">
        <v>213</v>
      </c>
      <c r="C76" s="138" t="s">
        <v>394</v>
      </c>
      <c r="D76" s="120">
        <v>26</v>
      </c>
      <c r="E76" s="121">
        <v>68</v>
      </c>
      <c r="F76" s="120"/>
      <c r="G76" s="121"/>
      <c r="H76" s="120"/>
      <c r="I76" s="121"/>
      <c r="J76" s="122" t="s">
        <v>33</v>
      </c>
      <c r="K76" s="117"/>
      <c r="L76" s="119"/>
    </row>
    <row r="77" spans="1:12" s="149" customFormat="1" ht="45" x14ac:dyDescent="0.25">
      <c r="A77" s="117" t="s">
        <v>57</v>
      </c>
      <c r="B77" s="118" t="s">
        <v>214</v>
      </c>
      <c r="C77" s="138" t="s">
        <v>394</v>
      </c>
      <c r="D77" s="120">
        <v>304</v>
      </c>
      <c r="E77" s="121">
        <v>2660</v>
      </c>
      <c r="F77" s="120"/>
      <c r="G77" s="121"/>
      <c r="H77" s="120"/>
      <c r="I77" s="121"/>
      <c r="J77" s="122" t="s">
        <v>33</v>
      </c>
      <c r="K77" s="117"/>
      <c r="L77" s="119"/>
    </row>
    <row r="78" spans="1:12" s="149" customFormat="1" ht="45" x14ac:dyDescent="0.25">
      <c r="A78" s="117" t="s">
        <v>58</v>
      </c>
      <c r="B78" s="118" t="s">
        <v>215</v>
      </c>
      <c r="C78" s="138" t="s">
        <v>394</v>
      </c>
      <c r="D78" s="120">
        <v>81</v>
      </c>
      <c r="E78" s="121">
        <v>604</v>
      </c>
      <c r="F78" s="120"/>
      <c r="G78" s="121"/>
      <c r="H78" s="120"/>
      <c r="I78" s="121"/>
      <c r="J78" s="122" t="s">
        <v>33</v>
      </c>
      <c r="K78" s="117"/>
      <c r="L78" s="119"/>
    </row>
    <row r="79" spans="1:12" s="151" customFormat="1" ht="45" x14ac:dyDescent="0.25">
      <c r="A79" s="160" t="s">
        <v>59</v>
      </c>
      <c r="B79" s="161" t="s">
        <v>216</v>
      </c>
      <c r="C79" s="174" t="s">
        <v>394</v>
      </c>
      <c r="D79" s="163">
        <v>51</v>
      </c>
      <c r="E79" s="164">
        <v>309</v>
      </c>
      <c r="F79" s="163"/>
      <c r="G79" s="164"/>
      <c r="H79" s="163"/>
      <c r="I79" s="164"/>
      <c r="J79" s="162" t="s">
        <v>33</v>
      </c>
      <c r="K79" s="160"/>
      <c r="L79" s="165"/>
    </row>
    <row r="80" spans="1:12" s="149" customFormat="1" ht="45" x14ac:dyDescent="0.25">
      <c r="A80" s="117" t="s">
        <v>60</v>
      </c>
      <c r="B80" s="118" t="s">
        <v>217</v>
      </c>
      <c r="C80" s="138" t="s">
        <v>394</v>
      </c>
      <c r="D80" s="120">
        <v>40</v>
      </c>
      <c r="E80" s="121">
        <v>97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394</v>
      </c>
      <c r="D81" s="120">
        <v>19</v>
      </c>
      <c r="E81" s="121">
        <v>3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45" x14ac:dyDescent="0.25">
      <c r="A82" s="117" t="s">
        <v>62</v>
      </c>
      <c r="B82" s="118" t="s">
        <v>219</v>
      </c>
      <c r="C82" s="138" t="s">
        <v>394</v>
      </c>
      <c r="D82" s="120">
        <v>24</v>
      </c>
      <c r="E82" s="121">
        <v>45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ht="30" x14ac:dyDescent="0.25">
      <c r="A83" s="117" t="s">
        <v>94</v>
      </c>
      <c r="B83" s="118" t="s">
        <v>201</v>
      </c>
      <c r="C83" s="119" t="s">
        <v>394</v>
      </c>
      <c r="D83" s="120">
        <v>73</v>
      </c>
      <c r="E83" s="121">
        <v>336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394</v>
      </c>
      <c r="D84" s="120">
        <v>1634</v>
      </c>
      <c r="E84" s="121">
        <v>10920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394</v>
      </c>
      <c r="D85" s="120">
        <v>112</v>
      </c>
      <c r="E85" s="121">
        <v>140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394</v>
      </c>
      <c r="D86" s="120">
        <v>38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394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394</v>
      </c>
      <c r="D88" s="120">
        <v>30</v>
      </c>
      <c r="E88" s="121">
        <v>20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394</v>
      </c>
      <c r="D89" s="120">
        <v>252</v>
      </c>
      <c r="E89" s="121">
        <v>1800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394</v>
      </c>
      <c r="D90" s="120">
        <v>736</v>
      </c>
      <c r="E90" s="121">
        <v>2160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394</v>
      </c>
      <c r="D91" s="120">
        <v>483</v>
      </c>
      <c r="E91" s="121">
        <v>2771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22" t="s">
        <v>394</v>
      </c>
      <c r="D92" s="120">
        <v>89</v>
      </c>
      <c r="E92" s="121">
        <v>214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394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394</v>
      </c>
      <c r="D94" s="120">
        <v>89</v>
      </c>
      <c r="E94" s="121">
        <v>507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394</v>
      </c>
      <c r="D95" s="120">
        <v>55</v>
      </c>
      <c r="E95" s="121">
        <v>347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50" customFormat="1" x14ac:dyDescent="0.25">
      <c r="A96" s="109" t="s">
        <v>70</v>
      </c>
      <c r="B96" s="110"/>
      <c r="C96" s="106"/>
      <c r="D96" s="107"/>
      <c r="E96" s="108"/>
      <c r="F96" s="107"/>
      <c r="G96" s="108"/>
      <c r="H96" s="107"/>
      <c r="I96" s="108"/>
      <c r="J96" s="106"/>
      <c r="K96" s="104"/>
      <c r="L96" s="158"/>
    </row>
    <row r="97" spans="1:12" s="149" customFormat="1" ht="30" x14ac:dyDescent="0.25">
      <c r="A97" s="117" t="s">
        <v>65</v>
      </c>
      <c r="B97" s="118" t="s">
        <v>163</v>
      </c>
      <c r="C97" s="119" t="s">
        <v>395</v>
      </c>
      <c r="D97" s="120"/>
      <c r="E97" s="121"/>
      <c r="F97" s="120"/>
      <c r="G97" s="121"/>
      <c r="H97" s="120">
        <v>235.57</v>
      </c>
      <c r="I97" s="121">
        <v>341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395</v>
      </c>
      <c r="D98" s="120"/>
      <c r="E98" s="121"/>
      <c r="F98" s="120"/>
      <c r="G98" s="121"/>
      <c r="H98" s="120">
        <v>330.07</v>
      </c>
      <c r="I98" s="121">
        <v>469</v>
      </c>
      <c r="J98" s="122"/>
      <c r="K98" s="117"/>
      <c r="L98" s="119"/>
    </row>
    <row r="99" spans="1:12" s="149" customFormat="1" ht="30" x14ac:dyDescent="0.25">
      <c r="A99" s="117" t="s">
        <v>71</v>
      </c>
      <c r="B99" s="118" t="s">
        <v>188</v>
      </c>
      <c r="C99" s="119" t="s">
        <v>395</v>
      </c>
      <c r="D99" s="120"/>
      <c r="E99" s="121"/>
      <c r="F99" s="120"/>
      <c r="G99" s="121"/>
      <c r="H99" s="120">
        <v>31.16</v>
      </c>
      <c r="I99" s="121">
        <v>8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395</v>
      </c>
      <c r="D100" s="120"/>
      <c r="E100" s="121"/>
      <c r="F100" s="120"/>
      <c r="G100" s="121"/>
      <c r="H100" s="120">
        <v>35.43</v>
      </c>
      <c r="I100" s="121">
        <v>28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395</v>
      </c>
      <c r="D101" s="120"/>
      <c r="E101" s="121"/>
      <c r="F101" s="120"/>
      <c r="G101" s="121"/>
      <c r="H101" s="120">
        <v>40.24</v>
      </c>
      <c r="I101" s="121">
        <v>37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395</v>
      </c>
      <c r="D102" s="120"/>
      <c r="E102" s="121"/>
      <c r="F102" s="120"/>
      <c r="G102" s="121"/>
      <c r="H102" s="120">
        <v>31.16</v>
      </c>
      <c r="I102" s="121">
        <v>3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395</v>
      </c>
      <c r="D103" s="120"/>
      <c r="E103" s="121"/>
      <c r="F103" s="120"/>
      <c r="G103" s="121"/>
      <c r="H103" s="120">
        <v>48.25</v>
      </c>
      <c r="I103" s="121">
        <v>52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395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395</v>
      </c>
      <c r="D105" s="120"/>
      <c r="E105" s="121"/>
      <c r="F105" s="120"/>
      <c r="G105" s="121"/>
      <c r="H105" s="120">
        <v>112.82</v>
      </c>
      <c r="I105" s="121">
        <v>160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397</v>
      </c>
      <c r="D106" s="120"/>
      <c r="E106" s="121"/>
      <c r="F106" s="120"/>
      <c r="G106" s="121"/>
      <c r="H106" s="120">
        <v>31.16</v>
      </c>
      <c r="I106" s="121">
        <v>12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395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168" t="s">
        <v>395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395</v>
      </c>
      <c r="D109" s="120"/>
      <c r="E109" s="121"/>
      <c r="F109" s="120"/>
      <c r="G109" s="121"/>
      <c r="H109" s="120">
        <v>37.03</v>
      </c>
      <c r="I109" s="121">
        <v>31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395</v>
      </c>
      <c r="D110" s="120"/>
      <c r="E110" s="121"/>
      <c r="F110" s="120"/>
      <c r="G110" s="121"/>
      <c r="H110" s="120">
        <v>31.16</v>
      </c>
      <c r="I110" s="121">
        <v>3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395</v>
      </c>
      <c r="D111" s="120"/>
      <c r="E111" s="121"/>
      <c r="F111" s="120"/>
      <c r="G111" s="121"/>
      <c r="H111" s="120">
        <v>31.16</v>
      </c>
      <c r="I111" s="121">
        <v>0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395</v>
      </c>
      <c r="D112" s="120"/>
      <c r="E112" s="121"/>
      <c r="F112" s="120"/>
      <c r="G112" s="121"/>
      <c r="H112" s="120">
        <v>31.16</v>
      </c>
      <c r="I112" s="121">
        <v>4</v>
      </c>
      <c r="J112" s="122"/>
      <c r="K112" s="117"/>
      <c r="L112" s="119"/>
    </row>
    <row r="113" spans="1:12" s="149" customFormat="1" ht="30" x14ac:dyDescent="0.25">
      <c r="A113" s="117" t="s">
        <v>85</v>
      </c>
      <c r="B113" s="118" t="s">
        <v>184</v>
      </c>
      <c r="C113" s="119" t="s">
        <v>395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395</v>
      </c>
      <c r="D114" s="120"/>
      <c r="E114" s="121"/>
      <c r="F114" s="120"/>
      <c r="G114" s="121"/>
      <c r="H114" s="120">
        <v>31.16</v>
      </c>
      <c r="I114" s="121">
        <v>16</v>
      </c>
      <c r="J114" s="122"/>
      <c r="K114" s="117"/>
      <c r="L114" s="119"/>
    </row>
    <row r="115" spans="1:12" s="149" customFormat="1" ht="30" x14ac:dyDescent="0.25">
      <c r="A115" s="117" t="s">
        <v>87</v>
      </c>
      <c r="B115" s="118" t="s">
        <v>181</v>
      </c>
      <c r="C115" s="119" t="s">
        <v>395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395</v>
      </c>
      <c r="D116" s="120"/>
      <c r="E116" s="121"/>
      <c r="F116" s="120"/>
      <c r="G116" s="121"/>
      <c r="H116" s="120">
        <v>108.93</v>
      </c>
      <c r="I116" s="121">
        <v>154</v>
      </c>
      <c r="J116" s="122"/>
      <c r="K116" s="117"/>
      <c r="L116" s="119"/>
    </row>
    <row r="117" spans="1:12" s="149" customFormat="1" ht="45" x14ac:dyDescent="0.25">
      <c r="A117" s="117" t="s">
        <v>89</v>
      </c>
      <c r="B117" s="118" t="s">
        <v>173</v>
      </c>
      <c r="C117" s="119" t="s">
        <v>395</v>
      </c>
      <c r="D117" s="120"/>
      <c r="E117" s="121"/>
      <c r="F117" s="120"/>
      <c r="G117" s="121"/>
      <c r="H117" s="120">
        <v>31.16</v>
      </c>
      <c r="I117" s="121">
        <v>1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395</v>
      </c>
      <c r="D118" s="120"/>
      <c r="E118" s="121"/>
      <c r="F118" s="120"/>
      <c r="G118" s="121"/>
      <c r="H118" s="120">
        <v>40.24</v>
      </c>
      <c r="I118" s="121">
        <v>37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395</v>
      </c>
      <c r="D119" s="120"/>
      <c r="E119" s="121"/>
      <c r="F119" s="120"/>
      <c r="G119" s="121"/>
      <c r="H119" s="120">
        <v>31.16</v>
      </c>
      <c r="I119" s="121">
        <v>11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395</v>
      </c>
      <c r="D120" s="120"/>
      <c r="E120" s="121"/>
      <c r="F120" s="120"/>
      <c r="G120" s="121"/>
      <c r="H120" s="120">
        <v>31.16</v>
      </c>
      <c r="I120" s="121">
        <v>9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395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395</v>
      </c>
      <c r="D122" s="120"/>
      <c r="E122" s="121"/>
      <c r="F122" s="120"/>
      <c r="G122" s="121"/>
      <c r="H122" s="120">
        <v>31.16</v>
      </c>
      <c r="I122" s="121">
        <v>19</v>
      </c>
      <c r="J122" s="122"/>
      <c r="K122" s="117"/>
      <c r="L122" s="119"/>
    </row>
    <row r="123" spans="1:12" s="149" customFormat="1" ht="45" x14ac:dyDescent="0.25">
      <c r="A123" s="117" t="s">
        <v>104</v>
      </c>
      <c r="B123" s="118" t="s">
        <v>195</v>
      </c>
      <c r="C123" s="119" t="s">
        <v>395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ht="30" x14ac:dyDescent="0.25">
      <c r="A124" s="117" t="s">
        <v>105</v>
      </c>
      <c r="B124" s="118" t="s">
        <v>196</v>
      </c>
      <c r="C124" s="119" t="s">
        <v>395</v>
      </c>
      <c r="D124" s="120"/>
      <c r="E124" s="121"/>
      <c r="F124" s="120"/>
      <c r="G124" s="121"/>
      <c r="H124" s="120">
        <v>46.74</v>
      </c>
      <c r="I124" s="121">
        <v>1</v>
      </c>
      <c r="J124" s="122"/>
      <c r="K124" s="117"/>
      <c r="L124" s="119"/>
    </row>
    <row r="125" spans="1:12" s="149" customFormat="1" ht="30" x14ac:dyDescent="0.25">
      <c r="A125" s="117" t="s">
        <v>68</v>
      </c>
      <c r="B125" s="118" t="s">
        <v>166</v>
      </c>
      <c r="C125" s="119" t="s">
        <v>395</v>
      </c>
      <c r="D125" s="120"/>
      <c r="E125" s="121"/>
      <c r="F125" s="120"/>
      <c r="G125" s="121"/>
      <c r="H125" s="120">
        <v>42.91</v>
      </c>
      <c r="I125" s="121">
        <v>42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395</v>
      </c>
      <c r="D126" s="120"/>
      <c r="E126" s="121"/>
      <c r="F126" s="120"/>
      <c r="G126" s="121"/>
      <c r="H126" s="120">
        <v>31.16</v>
      </c>
      <c r="I126" s="121">
        <v>16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395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400</v>
      </c>
      <c r="D128" s="120"/>
      <c r="E128" s="121"/>
      <c r="F128" s="120"/>
      <c r="G128" s="121"/>
      <c r="H128" s="120">
        <v>55.19</v>
      </c>
      <c r="I128" s="121">
        <v>65</v>
      </c>
      <c r="J128" s="122"/>
      <c r="K128" s="117"/>
      <c r="L128" s="119"/>
    </row>
    <row r="129" spans="1:12" s="149" customFormat="1" ht="30" x14ac:dyDescent="0.25">
      <c r="A129" s="117" t="s">
        <v>64</v>
      </c>
      <c r="B129" s="118" t="s">
        <v>191</v>
      </c>
      <c r="C129" s="119" t="s">
        <v>395</v>
      </c>
      <c r="D129" s="120"/>
      <c r="E129" s="121"/>
      <c r="F129" s="120"/>
      <c r="G129" s="121"/>
      <c r="H129" s="120">
        <v>239.81</v>
      </c>
      <c r="I129" s="121">
        <v>347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400</v>
      </c>
      <c r="D130" s="120"/>
      <c r="E130" s="121"/>
      <c r="F130" s="120"/>
      <c r="G130" s="121"/>
      <c r="H130" s="120">
        <v>918.35</v>
      </c>
      <c r="I130" s="121">
        <v>1238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400</v>
      </c>
      <c r="D131" s="120"/>
      <c r="E131" s="121"/>
      <c r="F131" s="120"/>
      <c r="G131" s="121"/>
      <c r="H131" s="120">
        <v>31.16</v>
      </c>
      <c r="I131" s="121">
        <v>18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400</v>
      </c>
      <c r="D132" s="120"/>
      <c r="E132" s="121"/>
      <c r="F132" s="120"/>
      <c r="G132" s="121"/>
      <c r="H132" s="120">
        <v>1731.55</v>
      </c>
      <c r="I132" s="121">
        <v>2301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400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400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400</v>
      </c>
      <c r="D135" s="120"/>
      <c r="E135" s="121"/>
      <c r="F135" s="120"/>
      <c r="G135" s="121"/>
      <c r="H135" s="120">
        <v>31.16</v>
      </c>
      <c r="I135" s="121">
        <v>13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400</v>
      </c>
      <c r="D136" s="120"/>
      <c r="E136" s="121"/>
      <c r="F136" s="120"/>
      <c r="G136" s="121"/>
      <c r="H136" s="120">
        <v>335.42</v>
      </c>
      <c r="I136" s="121">
        <v>476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400</v>
      </c>
      <c r="D137" s="120"/>
      <c r="E137" s="121"/>
      <c r="F137" s="120"/>
      <c r="G137" s="121"/>
      <c r="H137" s="120">
        <v>222.84</v>
      </c>
      <c r="I137" s="121">
        <v>323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400</v>
      </c>
      <c r="D138" s="120"/>
      <c r="E138" s="121"/>
      <c r="F138" s="120"/>
      <c r="G138" s="121"/>
      <c r="H138" s="120">
        <v>185.37</v>
      </c>
      <c r="I138" s="121">
        <v>270</v>
      </c>
      <c r="J138" s="122"/>
      <c r="K138" s="117"/>
      <c r="L138" s="119"/>
    </row>
    <row r="139" spans="1:12" s="150" customFormat="1" ht="30" x14ac:dyDescent="0.25">
      <c r="A139" s="109" t="s">
        <v>106</v>
      </c>
      <c r="B139" s="110"/>
      <c r="C139" s="106"/>
      <c r="D139" s="107"/>
      <c r="E139" s="108"/>
      <c r="F139" s="107"/>
      <c r="G139" s="108"/>
      <c r="H139" s="107"/>
      <c r="I139" s="108"/>
      <c r="J139" s="106"/>
      <c r="K139" s="104"/>
      <c r="L139" s="158"/>
    </row>
    <row r="140" spans="1:12" s="149" customFormat="1" ht="30" x14ac:dyDescent="0.25">
      <c r="A140" s="117" t="s">
        <v>107</v>
      </c>
      <c r="B140" s="118">
        <v>67</v>
      </c>
      <c r="C140" s="119" t="s">
        <v>395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395</v>
      </c>
      <c r="D141" s="120"/>
      <c r="E141" s="121"/>
      <c r="F141" s="120"/>
      <c r="G141" s="121"/>
      <c r="H141" s="120">
        <v>60</v>
      </c>
      <c r="I141" s="121">
        <v>1100</v>
      </c>
      <c r="J141" s="122"/>
      <c r="K141" s="117"/>
      <c r="L141" s="119"/>
    </row>
    <row r="142" spans="1:12" s="150" customFormat="1" x14ac:dyDescent="0.25">
      <c r="A142" s="112" t="s">
        <v>155</v>
      </c>
      <c r="B142" s="115"/>
      <c r="C142" s="106"/>
      <c r="D142" s="107"/>
      <c r="E142" s="108"/>
      <c r="F142" s="107"/>
      <c r="G142" s="108"/>
      <c r="H142" s="107"/>
      <c r="I142" s="108"/>
      <c r="J142" s="106"/>
      <c r="K142" s="104"/>
      <c r="L142" s="158"/>
    </row>
    <row r="143" spans="1:12" s="150" customFormat="1" ht="30" x14ac:dyDescent="0.25">
      <c r="A143" s="104" t="s">
        <v>156</v>
      </c>
      <c r="B143" s="171">
        <v>61</v>
      </c>
      <c r="C143" s="111">
        <v>42292</v>
      </c>
      <c r="D143" s="107"/>
      <c r="E143" s="108"/>
      <c r="F143" s="107"/>
      <c r="G143" s="108"/>
      <c r="H143" s="107">
        <v>220.38</v>
      </c>
      <c r="I143" s="108">
        <v>17230</v>
      </c>
      <c r="J143" s="106"/>
      <c r="K143" s="104"/>
      <c r="L143" s="158"/>
    </row>
    <row r="144" spans="1:12" s="150" customFormat="1" ht="30" x14ac:dyDescent="0.25">
      <c r="A144" s="109" t="s">
        <v>39</v>
      </c>
      <c r="B144" s="110"/>
      <c r="C144" s="106"/>
      <c r="D144" s="107"/>
      <c r="E144" s="108"/>
      <c r="F144" s="107"/>
      <c r="G144" s="108"/>
      <c r="H144" s="107"/>
      <c r="I144" s="108"/>
      <c r="J144" s="106"/>
      <c r="K144" s="104"/>
      <c r="L144" s="158"/>
    </row>
    <row r="145" spans="1:12" s="149" customFormat="1" ht="60" x14ac:dyDescent="0.25">
      <c r="A145" s="117" t="s">
        <v>40</v>
      </c>
      <c r="B145" s="118">
        <v>95</v>
      </c>
      <c r="C145" s="172">
        <v>42307</v>
      </c>
      <c r="D145" s="120"/>
      <c r="E145" s="121"/>
      <c r="F145" s="120"/>
      <c r="G145" s="121"/>
      <c r="H145" s="120">
        <v>16</v>
      </c>
      <c r="I145" s="121">
        <v>1200</v>
      </c>
      <c r="J145" s="122"/>
      <c r="K145" s="117"/>
      <c r="L145" s="119"/>
    </row>
    <row r="146" spans="1:12" s="150" customFormat="1" ht="45" x14ac:dyDescent="0.25">
      <c r="A146" s="109" t="s">
        <v>354</v>
      </c>
      <c r="B146" s="105"/>
      <c r="C146" s="111"/>
      <c r="D146" s="107"/>
      <c r="E146" s="108"/>
      <c r="F146" s="107"/>
      <c r="G146" s="108"/>
      <c r="H146" s="107"/>
      <c r="I146" s="108"/>
      <c r="J146" s="106"/>
      <c r="K146" s="104"/>
      <c r="L146" s="158"/>
    </row>
    <row r="147" spans="1:12" s="149" customFormat="1" ht="30" x14ac:dyDescent="0.25">
      <c r="A147" s="117" t="s">
        <v>355</v>
      </c>
      <c r="B147" s="118" t="s">
        <v>356</v>
      </c>
      <c r="C147" s="138" t="s">
        <v>402</v>
      </c>
      <c r="D147" s="120"/>
      <c r="E147" s="121"/>
      <c r="F147" s="120"/>
      <c r="G147" s="121"/>
      <c r="H147" s="120">
        <v>10</v>
      </c>
      <c r="I147" s="121">
        <v>0</v>
      </c>
      <c r="J147" s="122"/>
      <c r="K147" s="117"/>
      <c r="L147" s="119"/>
    </row>
    <row r="148" spans="1:12" s="150" customFormat="1" x14ac:dyDescent="0.25">
      <c r="A148" s="106"/>
      <c r="B148" s="106"/>
      <c r="C148" s="106"/>
      <c r="D148" s="116">
        <f t="shared" ref="D148:I148" si="0">SUM(D2:D145)</f>
        <v>20178.25</v>
      </c>
      <c r="E148" s="108">
        <f t="shared" si="0"/>
        <v>201649</v>
      </c>
      <c r="F148" s="116">
        <f t="shared" si="0"/>
        <v>2014.41</v>
      </c>
      <c r="G148" s="108">
        <f t="shared" si="0"/>
        <v>2852</v>
      </c>
      <c r="H148" s="116">
        <f t="shared" si="0"/>
        <v>5860.9800000000005</v>
      </c>
      <c r="I148" s="108">
        <f t="shared" si="0"/>
        <v>26252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393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44"/>
      <c r="B4" s="145"/>
      <c r="C4" s="145"/>
      <c r="D4" s="145"/>
      <c r="E4" s="145"/>
      <c r="F4" s="145"/>
      <c r="G4" s="14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249904</v>
      </c>
      <c r="D13" s="34"/>
      <c r="E13" s="35" t="s">
        <v>33</v>
      </c>
      <c r="F13" s="34"/>
      <c r="G13" s="42">
        <v>29469.599999999999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1797</v>
      </c>
      <c r="D15" s="34"/>
      <c r="E15" s="35" t="s">
        <v>10</v>
      </c>
      <c r="F15" s="34"/>
      <c r="G15" s="42">
        <v>1328.45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29679</v>
      </c>
      <c r="D17" s="34"/>
      <c r="E17" s="35" t="s">
        <v>278</v>
      </c>
      <c r="F17" s="34"/>
      <c r="G17" s="42">
        <v>7956.42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K148"/>
  <sheetViews>
    <sheetView workbookViewId="0">
      <pane ySplit="1" topLeftCell="A23" activePane="bottomLeft" state="frozen"/>
      <selection pane="bottomLeft" activeCell="D12" sqref="D12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</cols>
  <sheetData>
    <row r="1" spans="1:11" x14ac:dyDescent="0.25">
      <c r="A1" s="112" t="s">
        <v>0</v>
      </c>
      <c r="B1" s="115" t="s">
        <v>122</v>
      </c>
      <c r="C1" s="112" t="s">
        <v>5</v>
      </c>
      <c r="D1" s="113" t="s">
        <v>1</v>
      </c>
      <c r="E1" s="114" t="s">
        <v>4</v>
      </c>
      <c r="F1" s="113" t="s">
        <v>2</v>
      </c>
      <c r="G1" s="114" t="s">
        <v>4</v>
      </c>
      <c r="H1" s="113" t="s">
        <v>3</v>
      </c>
      <c r="I1" s="114" t="s">
        <v>4</v>
      </c>
      <c r="J1" s="112" t="s">
        <v>9</v>
      </c>
      <c r="K1" s="109" t="s">
        <v>12</v>
      </c>
    </row>
    <row r="2" spans="1:11" x14ac:dyDescent="0.25">
      <c r="A2" s="112" t="s">
        <v>6</v>
      </c>
      <c r="B2" s="115"/>
      <c r="D2" s="107"/>
      <c r="F2" s="107"/>
      <c r="H2" s="107"/>
      <c r="K2" s="104"/>
    </row>
    <row r="3" spans="1:11" s="103" customFormat="1" ht="45" x14ac:dyDescent="0.25">
      <c r="A3" s="123" t="s">
        <v>339</v>
      </c>
      <c r="B3" s="124">
        <v>3038136345</v>
      </c>
      <c r="C3" s="125" t="s">
        <v>363</v>
      </c>
      <c r="D3" s="126"/>
      <c r="E3" s="127"/>
      <c r="F3" s="126">
        <v>575.01</v>
      </c>
      <c r="G3" s="127">
        <v>891</v>
      </c>
      <c r="H3" s="126"/>
      <c r="I3" s="127"/>
      <c r="J3" s="125" t="s">
        <v>10</v>
      </c>
      <c r="K3" s="123"/>
    </row>
    <row r="4" spans="1:11" s="103" customFormat="1" ht="30" x14ac:dyDescent="0.25">
      <c r="A4" s="123" t="s">
        <v>13</v>
      </c>
      <c r="B4" s="124">
        <v>3026210376</v>
      </c>
      <c r="C4" s="125" t="s">
        <v>360</v>
      </c>
      <c r="D4" s="126"/>
      <c r="E4" s="127"/>
      <c r="F4" s="126">
        <v>55.65</v>
      </c>
      <c r="G4" s="127">
        <v>22</v>
      </c>
      <c r="H4" s="126"/>
      <c r="I4" s="127"/>
      <c r="J4" s="125" t="s">
        <v>10</v>
      </c>
      <c r="K4" s="123"/>
    </row>
    <row r="5" spans="1:11" s="103" customFormat="1" ht="30" x14ac:dyDescent="0.25">
      <c r="A5" s="123" t="s">
        <v>36</v>
      </c>
      <c r="B5" s="124">
        <v>3039781986</v>
      </c>
      <c r="C5" s="125" t="s">
        <v>364</v>
      </c>
      <c r="D5" s="126"/>
      <c r="E5" s="127"/>
      <c r="F5" s="126">
        <v>42.5</v>
      </c>
      <c r="G5" s="127">
        <v>0</v>
      </c>
      <c r="H5" s="126"/>
      <c r="I5" s="127"/>
      <c r="J5" s="125" t="s">
        <v>10</v>
      </c>
      <c r="K5" s="123"/>
    </row>
    <row r="6" spans="1:11" s="103" customFormat="1" x14ac:dyDescent="0.25">
      <c r="A6" s="123" t="s">
        <v>34</v>
      </c>
      <c r="B6" s="124">
        <v>3039472917</v>
      </c>
      <c r="C6" s="128" t="s">
        <v>382</v>
      </c>
      <c r="D6" s="126"/>
      <c r="E6" s="127"/>
      <c r="F6" s="126">
        <v>52.65</v>
      </c>
      <c r="G6" s="127">
        <v>720</v>
      </c>
      <c r="H6" s="126"/>
      <c r="I6" s="127"/>
      <c r="J6" s="125" t="s">
        <v>10</v>
      </c>
      <c r="K6" s="123"/>
    </row>
    <row r="7" spans="1:11" s="103" customFormat="1" x14ac:dyDescent="0.25">
      <c r="A7" s="123" t="s">
        <v>37</v>
      </c>
      <c r="B7" s="124">
        <v>4005211270</v>
      </c>
      <c r="C7" s="125" t="s">
        <v>364</v>
      </c>
      <c r="D7" s="126"/>
      <c r="E7" s="127"/>
      <c r="F7" s="126">
        <v>48.48</v>
      </c>
      <c r="G7" s="127">
        <v>10</v>
      </c>
      <c r="H7" s="126"/>
      <c r="I7" s="127"/>
      <c r="J7" s="125" t="s">
        <v>10</v>
      </c>
      <c r="K7" s="123"/>
    </row>
    <row r="8" spans="1:11" s="103" customFormat="1" ht="45" x14ac:dyDescent="0.25">
      <c r="A8" s="123" t="s">
        <v>41</v>
      </c>
      <c r="B8" s="124">
        <v>3044004323</v>
      </c>
      <c r="C8" s="125" t="s">
        <v>365</v>
      </c>
      <c r="D8" s="126"/>
      <c r="E8" s="127"/>
      <c r="F8" s="126">
        <v>51.4</v>
      </c>
      <c r="G8" s="127">
        <v>7</v>
      </c>
      <c r="H8" s="126"/>
      <c r="I8" s="127"/>
      <c r="J8" s="125" t="s">
        <v>10</v>
      </c>
      <c r="K8" s="123"/>
    </row>
    <row r="9" spans="1:11" s="103" customFormat="1" ht="45" x14ac:dyDescent="0.25">
      <c r="A9" s="123" t="s">
        <v>42</v>
      </c>
      <c r="B9" s="124">
        <v>3029257704</v>
      </c>
      <c r="C9" s="125" t="s">
        <v>365</v>
      </c>
      <c r="D9" s="126"/>
      <c r="E9" s="127"/>
      <c r="F9" s="126">
        <v>49.21</v>
      </c>
      <c r="G9" s="127">
        <v>3</v>
      </c>
      <c r="H9" s="126"/>
      <c r="I9" s="127"/>
      <c r="J9" s="125" t="s">
        <v>10</v>
      </c>
      <c r="K9" s="123"/>
    </row>
    <row r="10" spans="1:11" s="103" customFormat="1" ht="30" x14ac:dyDescent="0.25">
      <c r="A10" s="123" t="s">
        <v>44</v>
      </c>
      <c r="B10" s="124">
        <v>3039640691</v>
      </c>
      <c r="C10" s="125" t="s">
        <v>366</v>
      </c>
      <c r="D10" s="126"/>
      <c r="E10" s="127"/>
      <c r="F10" s="126">
        <v>45.49</v>
      </c>
      <c r="G10" s="127">
        <v>5</v>
      </c>
      <c r="H10" s="126"/>
      <c r="I10" s="127"/>
      <c r="J10" s="125" t="s">
        <v>10</v>
      </c>
      <c r="K10" s="123"/>
    </row>
    <row r="11" spans="1:11" s="103" customFormat="1" ht="30" x14ac:dyDescent="0.25">
      <c r="A11" s="123" t="s">
        <v>43</v>
      </c>
      <c r="B11" s="124">
        <v>3039782225</v>
      </c>
      <c r="C11" s="125" t="s">
        <v>366</v>
      </c>
      <c r="D11" s="126"/>
      <c r="E11" s="127"/>
      <c r="F11" s="126">
        <v>65.81</v>
      </c>
      <c r="G11" s="127">
        <v>39</v>
      </c>
      <c r="H11" s="126"/>
      <c r="I11" s="127"/>
      <c r="J11" s="125" t="s">
        <v>10</v>
      </c>
      <c r="K11" s="123"/>
    </row>
    <row r="12" spans="1:11" s="103" customFormat="1" ht="45" x14ac:dyDescent="0.25">
      <c r="A12" s="123" t="s">
        <v>45</v>
      </c>
      <c r="B12" s="124">
        <v>3039618715</v>
      </c>
      <c r="C12" s="125" t="s">
        <v>365</v>
      </c>
      <c r="D12" s="126"/>
      <c r="E12" s="127"/>
      <c r="F12" s="126">
        <v>47.56</v>
      </c>
      <c r="G12" s="127">
        <v>0</v>
      </c>
      <c r="H12" s="126"/>
      <c r="I12" s="127"/>
      <c r="J12" s="125" t="s">
        <v>10</v>
      </c>
      <c r="K12" s="123"/>
    </row>
    <row r="13" spans="1:11" s="103" customFormat="1" ht="30" x14ac:dyDescent="0.25">
      <c r="A13" s="123" t="s">
        <v>46</v>
      </c>
      <c r="B13" s="124">
        <v>3023189549</v>
      </c>
      <c r="C13" s="125" t="s">
        <v>367</v>
      </c>
      <c r="D13" s="126"/>
      <c r="E13" s="127"/>
      <c r="F13" s="126">
        <v>42.5</v>
      </c>
      <c r="G13" s="127">
        <v>0</v>
      </c>
      <c r="H13" s="126"/>
      <c r="I13" s="127"/>
      <c r="J13" s="125" t="s">
        <v>10</v>
      </c>
      <c r="K13" s="123"/>
    </row>
    <row r="14" spans="1:11" s="103" customFormat="1" ht="30" x14ac:dyDescent="0.25">
      <c r="A14" s="123" t="s">
        <v>47</v>
      </c>
      <c r="B14" s="124">
        <v>3034878837</v>
      </c>
      <c r="C14" s="128" t="s">
        <v>392</v>
      </c>
      <c r="D14" s="126"/>
      <c r="E14" s="127"/>
      <c r="F14" s="126">
        <v>42.5</v>
      </c>
      <c r="G14" s="127">
        <v>0</v>
      </c>
      <c r="H14" s="126"/>
      <c r="I14" s="127"/>
      <c r="J14" s="125" t="s">
        <v>10</v>
      </c>
      <c r="K14" s="123"/>
    </row>
    <row r="15" spans="1:11" s="103" customFormat="1" ht="30" x14ac:dyDescent="0.25">
      <c r="A15" s="123" t="s">
        <v>64</v>
      </c>
      <c r="B15" s="124">
        <v>3025670416</v>
      </c>
      <c r="C15" s="125" t="s">
        <v>364</v>
      </c>
      <c r="D15" s="126"/>
      <c r="E15" s="127"/>
      <c r="F15" s="126">
        <v>47.88</v>
      </c>
      <c r="G15" s="127">
        <v>9</v>
      </c>
      <c r="H15" s="126"/>
      <c r="I15" s="127"/>
      <c r="J15" s="125" t="s">
        <v>10</v>
      </c>
      <c r="K15" s="123"/>
    </row>
    <row r="16" spans="1:11" s="103" customFormat="1" ht="30" x14ac:dyDescent="0.25">
      <c r="A16" s="123" t="s">
        <v>65</v>
      </c>
      <c r="B16" s="124">
        <v>3023110891</v>
      </c>
      <c r="C16" s="125" t="s">
        <v>360</v>
      </c>
      <c r="D16" s="126"/>
      <c r="E16" s="127"/>
      <c r="F16" s="126">
        <v>83.14</v>
      </c>
      <c r="G16" s="127">
        <v>68</v>
      </c>
      <c r="H16" s="126"/>
      <c r="I16" s="127"/>
      <c r="J16" s="125" t="s">
        <v>10</v>
      </c>
      <c r="K16" s="123"/>
    </row>
    <row r="17" spans="1:11" s="103" customFormat="1" ht="30" x14ac:dyDescent="0.25">
      <c r="A17" s="123" t="s">
        <v>69</v>
      </c>
      <c r="B17" s="124">
        <v>3022125574</v>
      </c>
      <c r="C17" s="125" t="s">
        <v>368</v>
      </c>
      <c r="D17" s="126"/>
      <c r="E17" s="127"/>
      <c r="F17" s="126">
        <v>36.17</v>
      </c>
      <c r="G17" s="127">
        <v>23</v>
      </c>
      <c r="H17" s="126"/>
      <c r="I17" s="127"/>
      <c r="J17" s="125" t="s">
        <v>10</v>
      </c>
      <c r="K17" s="123"/>
    </row>
    <row r="18" spans="1:11" s="103" customFormat="1" ht="30" x14ac:dyDescent="0.25">
      <c r="A18" s="123" t="s">
        <v>68</v>
      </c>
      <c r="B18" s="124">
        <v>3022125841</v>
      </c>
      <c r="C18" s="125" t="s">
        <v>368</v>
      </c>
      <c r="D18" s="126"/>
      <c r="E18" s="127"/>
      <c r="F18" s="126">
        <v>42.5</v>
      </c>
      <c r="G18" s="127">
        <v>0</v>
      </c>
      <c r="H18" s="126"/>
      <c r="I18" s="127"/>
      <c r="J18" s="125" t="s">
        <v>10</v>
      </c>
      <c r="K18" s="123"/>
    </row>
    <row r="19" spans="1:11" x14ac:dyDescent="0.25">
      <c r="A19" s="109" t="s">
        <v>25</v>
      </c>
      <c r="B19" s="110"/>
      <c r="D19" s="107"/>
      <c r="F19" s="107"/>
      <c r="H19" s="107"/>
      <c r="K19" s="104"/>
    </row>
    <row r="20" spans="1:11" s="15" customFormat="1" ht="30" x14ac:dyDescent="0.25">
      <c r="A20" s="117" t="s">
        <v>310</v>
      </c>
      <c r="B20" s="118">
        <v>8463322</v>
      </c>
      <c r="C20" s="119" t="s">
        <v>375</v>
      </c>
      <c r="D20" s="120">
        <v>12289.28</v>
      </c>
      <c r="E20" s="121">
        <v>99700</v>
      </c>
      <c r="F20" s="120"/>
      <c r="G20" s="121"/>
      <c r="H20" s="120"/>
      <c r="I20" s="121"/>
      <c r="J20" s="122" t="s">
        <v>33</v>
      </c>
      <c r="K20" s="117"/>
    </row>
    <row r="21" spans="1:11" s="15" customFormat="1" ht="30" x14ac:dyDescent="0.25">
      <c r="A21" s="117" t="s">
        <v>113</v>
      </c>
      <c r="B21" s="118">
        <v>5089282</v>
      </c>
      <c r="C21" s="119" t="s">
        <v>375</v>
      </c>
      <c r="D21" s="120">
        <v>79.52</v>
      </c>
      <c r="E21" s="121">
        <v>600</v>
      </c>
      <c r="F21" s="120"/>
      <c r="G21" s="121"/>
      <c r="H21" s="120"/>
      <c r="I21" s="121"/>
      <c r="J21" s="122" t="s">
        <v>33</v>
      </c>
      <c r="K21" s="117"/>
    </row>
    <row r="22" spans="1:11" s="15" customFormat="1" ht="30" x14ac:dyDescent="0.25">
      <c r="A22" s="117" t="s">
        <v>252</v>
      </c>
      <c r="B22" s="122">
        <v>8239130</v>
      </c>
      <c r="C22" s="119" t="s">
        <v>375</v>
      </c>
      <c r="D22" s="120">
        <v>26.77</v>
      </c>
      <c r="E22" s="121">
        <v>153</v>
      </c>
      <c r="F22" s="120"/>
      <c r="G22" s="121"/>
      <c r="H22" s="120"/>
      <c r="I22" s="121"/>
      <c r="J22" s="122" t="s">
        <v>33</v>
      </c>
      <c r="K22" s="117"/>
    </row>
    <row r="23" spans="1:11" s="15" customFormat="1" ht="30" x14ac:dyDescent="0.25">
      <c r="A23" s="117" t="s">
        <v>114</v>
      </c>
      <c r="B23" s="118">
        <v>5089344</v>
      </c>
      <c r="C23" s="119" t="s">
        <v>375</v>
      </c>
      <c r="D23" s="120">
        <v>41.5</v>
      </c>
      <c r="E23" s="121">
        <v>338</v>
      </c>
      <c r="F23" s="120"/>
      <c r="G23" s="121"/>
      <c r="H23" s="120"/>
      <c r="I23" s="121"/>
      <c r="J23" s="122" t="s">
        <v>33</v>
      </c>
      <c r="K23" s="117"/>
    </row>
    <row r="24" spans="1:11" s="15" customFormat="1" ht="30" x14ac:dyDescent="0.25">
      <c r="A24" s="117" t="s">
        <v>19</v>
      </c>
      <c r="B24" s="118">
        <v>7010755</v>
      </c>
      <c r="C24" s="119" t="s">
        <v>375</v>
      </c>
      <c r="D24" s="120">
        <v>14.6</v>
      </c>
      <c r="E24" s="121">
        <v>0</v>
      </c>
      <c r="F24" s="120"/>
      <c r="G24" s="121"/>
      <c r="H24" s="120"/>
      <c r="I24" s="121"/>
      <c r="J24" s="122" t="s">
        <v>33</v>
      </c>
      <c r="K24" s="117"/>
    </row>
    <row r="25" spans="1:11" s="15" customFormat="1" ht="30" x14ac:dyDescent="0.25">
      <c r="A25" s="117" t="s">
        <v>115</v>
      </c>
      <c r="B25" s="118">
        <v>9261200</v>
      </c>
      <c r="C25" s="119" t="s">
        <v>375</v>
      </c>
      <c r="D25" s="120">
        <v>171.08</v>
      </c>
      <c r="E25" s="121">
        <v>1875</v>
      </c>
      <c r="F25" s="120"/>
      <c r="G25" s="121"/>
      <c r="H25" s="120"/>
      <c r="I25" s="121"/>
      <c r="J25" s="122" t="s">
        <v>33</v>
      </c>
      <c r="K25" s="117"/>
    </row>
    <row r="26" spans="1:11" s="103" customFormat="1" ht="30" x14ac:dyDescent="0.25">
      <c r="A26" s="123" t="s">
        <v>116</v>
      </c>
      <c r="B26" s="124">
        <v>5105092</v>
      </c>
      <c r="C26" s="128" t="s">
        <v>375</v>
      </c>
      <c r="D26" s="126">
        <v>1028.17</v>
      </c>
      <c r="E26" s="127">
        <v>5685</v>
      </c>
      <c r="F26" s="126"/>
      <c r="G26" s="127"/>
      <c r="H26" s="126"/>
      <c r="I26" s="127"/>
      <c r="J26" s="125" t="s">
        <v>33</v>
      </c>
      <c r="K26" s="123"/>
    </row>
    <row r="27" spans="1:11" s="15" customFormat="1" ht="30" x14ac:dyDescent="0.25">
      <c r="A27" s="117" t="s">
        <v>119</v>
      </c>
      <c r="B27" s="118">
        <v>5074402</v>
      </c>
      <c r="C27" s="119" t="s">
        <v>370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</row>
    <row r="28" spans="1:11" s="103" customFormat="1" ht="30" x14ac:dyDescent="0.25">
      <c r="A28" s="123" t="s">
        <v>248</v>
      </c>
      <c r="B28" s="124">
        <v>5264802</v>
      </c>
      <c r="C28" s="128" t="s">
        <v>370</v>
      </c>
      <c r="D28" s="126">
        <v>112.17</v>
      </c>
      <c r="E28" s="127">
        <v>770</v>
      </c>
      <c r="F28" s="126"/>
      <c r="G28" s="127"/>
      <c r="H28" s="126"/>
      <c r="I28" s="127"/>
      <c r="J28" s="125" t="s">
        <v>33</v>
      </c>
      <c r="K28" s="123"/>
    </row>
    <row r="29" spans="1:11" s="15" customFormat="1" x14ac:dyDescent="0.25">
      <c r="A29" s="117" t="s">
        <v>264</v>
      </c>
      <c r="B29" s="118">
        <v>8234139</v>
      </c>
      <c r="C29" s="138" t="s">
        <v>371</v>
      </c>
      <c r="D29" s="139">
        <v>24.79</v>
      </c>
      <c r="E29" s="121">
        <v>128</v>
      </c>
      <c r="F29" s="120"/>
      <c r="G29" s="121"/>
      <c r="H29" s="120"/>
      <c r="I29" s="121"/>
      <c r="J29" s="122" t="s">
        <v>33</v>
      </c>
      <c r="K29" s="117"/>
    </row>
    <row r="30" spans="1:11" s="15" customFormat="1" x14ac:dyDescent="0.25">
      <c r="A30" s="117" t="s">
        <v>250</v>
      </c>
      <c r="B30" s="118">
        <v>5074495</v>
      </c>
      <c r="C30" s="119" t="s">
        <v>374</v>
      </c>
      <c r="D30" s="120">
        <v>33.24</v>
      </c>
      <c r="E30" s="121">
        <v>234</v>
      </c>
      <c r="F30" s="120"/>
      <c r="G30" s="121"/>
      <c r="H30" s="120"/>
      <c r="I30" s="121"/>
      <c r="J30" s="122" t="s">
        <v>33</v>
      </c>
      <c r="K30" s="117"/>
    </row>
    <row r="31" spans="1:11" s="15" customFormat="1" ht="45" x14ac:dyDescent="0.25">
      <c r="A31" s="117" t="s">
        <v>123</v>
      </c>
      <c r="B31" s="118">
        <v>5036644</v>
      </c>
      <c r="C31" s="119" t="s">
        <v>377</v>
      </c>
      <c r="D31" s="120">
        <v>136.38999999999999</v>
      </c>
      <c r="E31" s="121">
        <v>605</v>
      </c>
      <c r="F31" s="120"/>
      <c r="G31" s="121"/>
      <c r="H31" s="120"/>
      <c r="I31" s="121"/>
      <c r="J31" s="122" t="s">
        <v>33</v>
      </c>
      <c r="K31" s="117"/>
    </row>
    <row r="32" spans="1:11" s="15" customFormat="1" ht="30" x14ac:dyDescent="0.25">
      <c r="A32" s="117" t="s">
        <v>127</v>
      </c>
      <c r="B32" s="118">
        <v>5020429</v>
      </c>
      <c r="C32" s="119" t="s">
        <v>377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</row>
    <row r="33" spans="1:11" s="15" customFormat="1" ht="45" x14ac:dyDescent="0.25">
      <c r="A33" s="117" t="s">
        <v>125</v>
      </c>
      <c r="B33" s="118">
        <v>6722734</v>
      </c>
      <c r="C33" s="119" t="s">
        <v>377</v>
      </c>
      <c r="D33" s="120">
        <v>197.89</v>
      </c>
      <c r="E33" s="121">
        <v>913</v>
      </c>
      <c r="F33" s="120"/>
      <c r="G33" s="121"/>
      <c r="H33" s="120"/>
      <c r="I33" s="121"/>
      <c r="J33" s="122" t="s">
        <v>33</v>
      </c>
      <c r="K33" s="117"/>
    </row>
    <row r="34" spans="1:11" s="15" customFormat="1" ht="30" x14ac:dyDescent="0.25">
      <c r="A34" s="117" t="s">
        <v>126</v>
      </c>
      <c r="B34" s="142">
        <v>5037202</v>
      </c>
      <c r="C34" s="119" t="s">
        <v>377</v>
      </c>
      <c r="D34" s="120">
        <v>168.46</v>
      </c>
      <c r="E34" s="121">
        <v>1976</v>
      </c>
      <c r="F34" s="120"/>
      <c r="G34" s="121"/>
      <c r="H34" s="120"/>
      <c r="I34" s="121"/>
      <c r="J34" s="122" t="s">
        <v>33</v>
      </c>
      <c r="K34" s="117"/>
    </row>
    <row r="35" spans="1:11" s="15" customFormat="1" ht="30" x14ac:dyDescent="0.25">
      <c r="A35" s="117" t="s">
        <v>128</v>
      </c>
      <c r="B35" s="118">
        <v>5037326</v>
      </c>
      <c r="C35" s="119" t="s">
        <v>379</v>
      </c>
      <c r="D35" s="120">
        <v>46.36</v>
      </c>
      <c r="E35" s="121">
        <v>411</v>
      </c>
      <c r="F35" s="120"/>
      <c r="G35" s="121"/>
      <c r="H35" s="120"/>
      <c r="I35" s="121"/>
      <c r="J35" s="122" t="s">
        <v>33</v>
      </c>
      <c r="K35" s="117"/>
    </row>
    <row r="36" spans="1:11" s="15" customFormat="1" x14ac:dyDescent="0.25">
      <c r="A36" s="117" t="s">
        <v>37</v>
      </c>
      <c r="B36" s="118">
        <v>5064854</v>
      </c>
      <c r="C36" s="119" t="s">
        <v>377</v>
      </c>
      <c r="D36" s="120">
        <v>643.51</v>
      </c>
      <c r="E36" s="121">
        <v>7080</v>
      </c>
      <c r="F36" s="120"/>
      <c r="G36" s="121"/>
      <c r="H36" s="120"/>
      <c r="I36" s="121"/>
      <c r="J36" s="122" t="s">
        <v>33</v>
      </c>
      <c r="K36" s="117"/>
    </row>
    <row r="37" spans="1:11" s="15" customFormat="1" ht="30" x14ac:dyDescent="0.25">
      <c r="A37" s="117" t="s">
        <v>32</v>
      </c>
      <c r="B37" s="118">
        <v>5021826</v>
      </c>
      <c r="C37" s="119" t="s">
        <v>377</v>
      </c>
      <c r="D37" s="120">
        <v>57.54</v>
      </c>
      <c r="E37" s="121">
        <v>540</v>
      </c>
      <c r="F37" s="120"/>
      <c r="G37" s="121"/>
      <c r="H37" s="120"/>
      <c r="I37" s="121"/>
      <c r="J37" s="122" t="s">
        <v>33</v>
      </c>
      <c r="K37" s="117"/>
    </row>
    <row r="38" spans="1:11" s="15" customFormat="1" ht="45" x14ac:dyDescent="0.25">
      <c r="A38" s="117" t="s">
        <v>129</v>
      </c>
      <c r="B38" s="118">
        <v>4964784</v>
      </c>
      <c r="C38" s="119" t="s">
        <v>377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</row>
    <row r="39" spans="1:11" s="15" customFormat="1" ht="30" x14ac:dyDescent="0.25">
      <c r="A39" s="117" t="s">
        <v>254</v>
      </c>
      <c r="B39" s="118">
        <v>4955887</v>
      </c>
      <c r="C39" s="119" t="s">
        <v>370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</row>
    <row r="40" spans="1:11" s="103" customFormat="1" ht="30" x14ac:dyDescent="0.25">
      <c r="A40" s="123" t="s">
        <v>64</v>
      </c>
      <c r="B40" s="124">
        <v>4932391</v>
      </c>
      <c r="C40" s="128" t="s">
        <v>370</v>
      </c>
      <c r="D40" s="126">
        <v>279.85000000000002</v>
      </c>
      <c r="E40" s="127">
        <v>2530</v>
      </c>
      <c r="F40" s="126"/>
      <c r="G40" s="127"/>
      <c r="H40" s="126"/>
      <c r="I40" s="127"/>
      <c r="J40" s="125" t="s">
        <v>33</v>
      </c>
      <c r="K40" s="123"/>
    </row>
    <row r="41" spans="1:11" s="103" customFormat="1" ht="30" x14ac:dyDescent="0.25">
      <c r="A41" s="123" t="s">
        <v>28</v>
      </c>
      <c r="B41" s="124">
        <v>5265050</v>
      </c>
      <c r="C41" s="128" t="s">
        <v>378</v>
      </c>
      <c r="D41" s="126">
        <v>22.58</v>
      </c>
      <c r="E41" s="127">
        <v>150</v>
      </c>
      <c r="F41" s="126"/>
      <c r="G41" s="127"/>
      <c r="H41" s="126"/>
      <c r="I41" s="127"/>
      <c r="J41" s="125" t="s">
        <v>33</v>
      </c>
      <c r="K41" s="123"/>
    </row>
    <row r="42" spans="1:11" s="103" customFormat="1" ht="30" x14ac:dyDescent="0.25">
      <c r="A42" s="123" t="s">
        <v>29</v>
      </c>
      <c r="B42" s="124">
        <v>5265019</v>
      </c>
      <c r="C42" s="128" t="s">
        <v>379</v>
      </c>
      <c r="D42" s="126">
        <v>16.05</v>
      </c>
      <c r="E42" s="127">
        <v>70</v>
      </c>
      <c r="F42" s="126"/>
      <c r="G42" s="127"/>
      <c r="H42" s="126"/>
      <c r="I42" s="127"/>
      <c r="J42" s="125" t="s">
        <v>33</v>
      </c>
      <c r="K42" s="123"/>
    </row>
    <row r="43" spans="1:11" s="15" customFormat="1" ht="30" x14ac:dyDescent="0.25">
      <c r="A43" s="117" t="s">
        <v>243</v>
      </c>
      <c r="B43" s="118">
        <v>4426005</v>
      </c>
      <c r="C43" s="119" t="s">
        <v>379</v>
      </c>
      <c r="D43" s="120">
        <v>1234.08</v>
      </c>
      <c r="E43" s="121">
        <v>10950</v>
      </c>
      <c r="F43" s="120"/>
      <c r="G43" s="121"/>
      <c r="H43" s="120"/>
      <c r="I43" s="121"/>
      <c r="J43" s="122" t="s">
        <v>33</v>
      </c>
      <c r="K43" s="117"/>
    </row>
    <row r="44" spans="1:11" s="15" customFormat="1" ht="30" x14ac:dyDescent="0.25">
      <c r="A44" s="143" t="s">
        <v>22</v>
      </c>
      <c r="B44" s="118">
        <v>5264554</v>
      </c>
      <c r="C44" s="119" t="s">
        <v>368</v>
      </c>
      <c r="D44" s="120">
        <v>80.36</v>
      </c>
      <c r="E44" s="121">
        <v>824</v>
      </c>
      <c r="F44" s="120"/>
      <c r="G44" s="121"/>
      <c r="H44" s="120"/>
      <c r="I44" s="121"/>
      <c r="J44" s="122" t="s">
        <v>33</v>
      </c>
      <c r="K44" s="117"/>
    </row>
    <row r="45" spans="1:11" s="15" customFormat="1" ht="30" x14ac:dyDescent="0.25">
      <c r="A45" s="117" t="s">
        <v>241</v>
      </c>
      <c r="B45" s="118">
        <v>4912148</v>
      </c>
      <c r="C45" s="119" t="s">
        <v>379</v>
      </c>
      <c r="D45" s="120">
        <v>299.66000000000003</v>
      </c>
      <c r="E45" s="121">
        <v>1260</v>
      </c>
      <c r="F45" s="120"/>
      <c r="G45" s="121"/>
      <c r="H45" s="120"/>
      <c r="I45" s="121"/>
      <c r="J45" s="122" t="s">
        <v>33</v>
      </c>
      <c r="K45" s="117"/>
    </row>
    <row r="46" spans="1:11" s="15" customFormat="1" ht="30" x14ac:dyDescent="0.25">
      <c r="A46" s="117" t="s">
        <v>242</v>
      </c>
      <c r="B46" s="118">
        <v>4426036</v>
      </c>
      <c r="C46" s="119" t="s">
        <v>379</v>
      </c>
      <c r="D46" s="120">
        <v>363.66</v>
      </c>
      <c r="E46" s="121">
        <v>2100</v>
      </c>
      <c r="F46" s="120"/>
      <c r="G46" s="121"/>
      <c r="H46" s="120"/>
      <c r="I46" s="121"/>
      <c r="J46" s="122" t="s">
        <v>33</v>
      </c>
      <c r="K46" s="117"/>
    </row>
    <row r="47" spans="1:11" s="15" customFormat="1" x14ac:dyDescent="0.25">
      <c r="A47" s="117" t="s">
        <v>34</v>
      </c>
      <c r="B47" s="118">
        <v>5028615</v>
      </c>
      <c r="C47" s="119" t="s">
        <v>379</v>
      </c>
      <c r="D47" s="120">
        <v>983.14</v>
      </c>
      <c r="E47" s="121">
        <v>9360</v>
      </c>
      <c r="F47" s="120"/>
      <c r="G47" s="121"/>
      <c r="H47" s="120"/>
      <c r="I47" s="121"/>
      <c r="J47" s="122" t="s">
        <v>33</v>
      </c>
      <c r="K47" s="117"/>
    </row>
    <row r="48" spans="1:11" s="103" customFormat="1" ht="30" x14ac:dyDescent="0.25">
      <c r="A48" s="123" t="s">
        <v>47</v>
      </c>
      <c r="B48" s="124">
        <v>4914628</v>
      </c>
      <c r="C48" s="134" t="s">
        <v>381</v>
      </c>
      <c r="D48" s="126">
        <v>686.84</v>
      </c>
      <c r="E48" s="127">
        <v>6947</v>
      </c>
      <c r="F48" s="126"/>
      <c r="G48" s="127"/>
      <c r="H48" s="126"/>
      <c r="I48" s="127"/>
      <c r="J48" s="125" t="s">
        <v>33</v>
      </c>
      <c r="K48" s="123"/>
    </row>
    <row r="49" spans="1:11" s="15" customFormat="1" ht="30" x14ac:dyDescent="0.25">
      <c r="A49" s="117" t="s">
        <v>46</v>
      </c>
      <c r="B49" s="118">
        <v>5027654</v>
      </c>
      <c r="C49" s="119" t="s">
        <v>379</v>
      </c>
      <c r="D49" s="120">
        <v>266.55</v>
      </c>
      <c r="E49" s="121">
        <v>2824</v>
      </c>
      <c r="F49" s="120"/>
      <c r="G49" s="121"/>
      <c r="H49" s="120"/>
      <c r="I49" s="121"/>
      <c r="J49" s="122" t="s">
        <v>33</v>
      </c>
      <c r="K49" s="117"/>
    </row>
    <row r="50" spans="1:11" s="103" customFormat="1" ht="30" x14ac:dyDescent="0.25">
      <c r="A50" s="123" t="s">
        <v>48</v>
      </c>
      <c r="B50" s="124">
        <v>5262911</v>
      </c>
      <c r="C50" s="128" t="s">
        <v>369</v>
      </c>
      <c r="D50" s="126">
        <v>16.05</v>
      </c>
      <c r="E50" s="127">
        <v>70</v>
      </c>
      <c r="F50" s="126"/>
      <c r="G50" s="127"/>
      <c r="H50" s="126"/>
      <c r="I50" s="127"/>
      <c r="J50" s="125" t="s">
        <v>33</v>
      </c>
      <c r="K50" s="123"/>
    </row>
    <row r="51" spans="1:11" s="15" customFormat="1" ht="30" x14ac:dyDescent="0.25">
      <c r="A51" s="117" t="s">
        <v>244</v>
      </c>
      <c r="B51" s="118">
        <v>8184322</v>
      </c>
      <c r="C51" s="119" t="s">
        <v>380</v>
      </c>
      <c r="D51" s="120">
        <v>582.28</v>
      </c>
      <c r="E51" s="121">
        <v>3360</v>
      </c>
      <c r="F51" s="120"/>
      <c r="G51" s="121"/>
      <c r="H51" s="120"/>
      <c r="I51" s="121"/>
      <c r="J51" s="122" t="s">
        <v>33</v>
      </c>
      <c r="K51" s="117"/>
    </row>
    <row r="52" spans="1:11" s="103" customFormat="1" ht="30" x14ac:dyDescent="0.25">
      <c r="A52" s="123" t="s">
        <v>38</v>
      </c>
      <c r="B52" s="124">
        <v>5231911</v>
      </c>
      <c r="C52" s="128" t="s">
        <v>379</v>
      </c>
      <c r="D52" s="126">
        <v>22.58</v>
      </c>
      <c r="E52" s="127">
        <v>150</v>
      </c>
      <c r="F52" s="126"/>
      <c r="G52" s="127"/>
      <c r="H52" s="126"/>
      <c r="I52" s="127"/>
      <c r="J52" s="125" t="s">
        <v>33</v>
      </c>
      <c r="K52" s="123"/>
    </row>
    <row r="53" spans="1:11" s="103" customFormat="1" ht="30" x14ac:dyDescent="0.25">
      <c r="A53" s="123" t="s">
        <v>17</v>
      </c>
      <c r="B53" s="124">
        <v>8934894</v>
      </c>
      <c r="C53" s="128" t="s">
        <v>379</v>
      </c>
      <c r="D53" s="126">
        <v>29.19</v>
      </c>
      <c r="E53" s="127">
        <v>68</v>
      </c>
      <c r="F53" s="126"/>
      <c r="G53" s="127"/>
      <c r="H53" s="126"/>
      <c r="I53" s="127"/>
      <c r="J53" s="125" t="s">
        <v>33</v>
      </c>
      <c r="K53" s="123"/>
    </row>
    <row r="54" spans="1:11" s="15" customFormat="1" ht="30" x14ac:dyDescent="0.25">
      <c r="A54" s="117" t="s">
        <v>240</v>
      </c>
      <c r="B54" s="118">
        <v>5031405</v>
      </c>
      <c r="C54" s="119" t="s">
        <v>379</v>
      </c>
      <c r="D54" s="120">
        <v>1474.57</v>
      </c>
      <c r="E54" s="121">
        <v>16020</v>
      </c>
      <c r="F54" s="120"/>
      <c r="G54" s="121"/>
      <c r="H54" s="120"/>
      <c r="I54" s="121"/>
      <c r="J54" s="122" t="s">
        <v>33</v>
      </c>
      <c r="K54" s="117"/>
    </row>
    <row r="55" spans="1:11" s="103" customFormat="1" ht="30" x14ac:dyDescent="0.25">
      <c r="A55" s="123" t="s">
        <v>26</v>
      </c>
      <c r="B55" s="124">
        <v>149091</v>
      </c>
      <c r="C55" s="128" t="s">
        <v>379</v>
      </c>
      <c r="D55" s="126">
        <v>18.79</v>
      </c>
      <c r="E55" s="127">
        <v>80</v>
      </c>
      <c r="F55" s="126"/>
      <c r="G55" s="127"/>
      <c r="H55" s="126"/>
      <c r="I55" s="127"/>
      <c r="J55" s="125" t="s">
        <v>33</v>
      </c>
      <c r="K55" s="123"/>
    </row>
    <row r="56" spans="1:11" s="103" customFormat="1" ht="30" x14ac:dyDescent="0.25">
      <c r="A56" s="123" t="s">
        <v>30</v>
      </c>
      <c r="B56" s="124">
        <v>4914473</v>
      </c>
      <c r="C56" s="128" t="s">
        <v>379</v>
      </c>
      <c r="D56" s="126">
        <v>1170.44</v>
      </c>
      <c r="E56" s="127">
        <v>17100</v>
      </c>
      <c r="F56" s="126"/>
      <c r="G56" s="127"/>
      <c r="H56" s="126"/>
      <c r="I56" s="127"/>
      <c r="J56" s="125" t="s">
        <v>33</v>
      </c>
      <c r="K56" s="123"/>
    </row>
    <row r="57" spans="1:11" s="15" customFormat="1" ht="30" x14ac:dyDescent="0.25">
      <c r="A57" s="117" t="s">
        <v>244</v>
      </c>
      <c r="B57" s="118">
        <v>117936</v>
      </c>
      <c r="C57" s="119" t="s">
        <v>379</v>
      </c>
      <c r="D57" s="120">
        <v>135.25</v>
      </c>
      <c r="E57" s="121">
        <v>440</v>
      </c>
      <c r="F57" s="120"/>
      <c r="G57" s="121"/>
      <c r="H57" s="120"/>
      <c r="I57" s="121"/>
      <c r="J57" s="122" t="s">
        <v>33</v>
      </c>
      <c r="K57" s="117"/>
    </row>
    <row r="58" spans="1:11" s="15" customFormat="1" ht="60" x14ac:dyDescent="0.25">
      <c r="A58" s="117" t="s">
        <v>153</v>
      </c>
      <c r="B58" s="118">
        <v>8327232</v>
      </c>
      <c r="C58" s="119" t="s">
        <v>370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</row>
    <row r="59" spans="1:11" s="15" customFormat="1" ht="30" x14ac:dyDescent="0.25">
      <c r="A59" s="117" t="s">
        <v>255</v>
      </c>
      <c r="B59" s="118">
        <v>6973803</v>
      </c>
      <c r="C59" s="119" t="s">
        <v>370</v>
      </c>
      <c r="D59" s="120">
        <v>14.68</v>
      </c>
      <c r="E59" s="121">
        <v>1</v>
      </c>
      <c r="F59" s="120"/>
      <c r="G59" s="121"/>
      <c r="H59" s="120"/>
      <c r="I59" s="121"/>
      <c r="J59" s="122" t="s">
        <v>33</v>
      </c>
      <c r="K59" s="117"/>
    </row>
    <row r="60" spans="1:11" s="15" customFormat="1" ht="30" x14ac:dyDescent="0.25">
      <c r="A60" s="117" t="s">
        <v>150</v>
      </c>
      <c r="B60" s="118">
        <v>7480591</v>
      </c>
      <c r="C60" s="119" t="s">
        <v>370</v>
      </c>
      <c r="D60" s="120">
        <v>1026.1300000000001</v>
      </c>
      <c r="E60" s="121">
        <v>13606</v>
      </c>
      <c r="F60" s="120"/>
      <c r="G60" s="121"/>
      <c r="H60" s="120"/>
      <c r="I60" s="121"/>
      <c r="J60" s="122" t="s">
        <v>33</v>
      </c>
      <c r="K60" s="117"/>
    </row>
    <row r="61" spans="1:11" s="15" customFormat="1" ht="30" x14ac:dyDescent="0.25">
      <c r="A61" s="117" t="s">
        <v>253</v>
      </c>
      <c r="B61" s="118">
        <v>4934809</v>
      </c>
      <c r="C61" s="119" t="s">
        <v>370</v>
      </c>
      <c r="D61" s="120">
        <v>38.86</v>
      </c>
      <c r="E61" s="121">
        <v>300</v>
      </c>
      <c r="F61" s="120"/>
      <c r="G61" s="121"/>
      <c r="H61" s="120"/>
      <c r="I61" s="121"/>
      <c r="J61" s="122" t="s">
        <v>33</v>
      </c>
      <c r="K61" s="117"/>
    </row>
    <row r="62" spans="1:11" s="15" customFormat="1" ht="30" x14ac:dyDescent="0.25">
      <c r="A62" s="117" t="s">
        <v>152</v>
      </c>
      <c r="B62" s="118">
        <v>9498071</v>
      </c>
      <c r="C62" s="119" t="s">
        <v>370</v>
      </c>
      <c r="D62" s="120">
        <v>325.05</v>
      </c>
      <c r="E62" s="121">
        <v>1360</v>
      </c>
      <c r="F62" s="120"/>
      <c r="G62" s="121"/>
      <c r="H62" s="120"/>
      <c r="I62" s="121"/>
      <c r="J62" s="122" t="s">
        <v>33</v>
      </c>
      <c r="K62" s="117"/>
    </row>
    <row r="63" spans="1:11" s="103" customFormat="1" ht="30" x14ac:dyDescent="0.25">
      <c r="A63" s="123" t="s">
        <v>245</v>
      </c>
      <c r="B63" s="124">
        <v>4962800</v>
      </c>
      <c r="C63" s="128" t="s">
        <v>370</v>
      </c>
      <c r="D63" s="126">
        <v>27.23</v>
      </c>
      <c r="E63" s="127">
        <v>160</v>
      </c>
      <c r="F63" s="126"/>
      <c r="G63" s="127"/>
      <c r="H63" s="126"/>
      <c r="I63" s="127"/>
      <c r="J63" s="125" t="s">
        <v>33</v>
      </c>
      <c r="K63" s="123"/>
    </row>
    <row r="64" spans="1:11" s="15" customFormat="1" ht="30" x14ac:dyDescent="0.25">
      <c r="A64" s="117" t="s">
        <v>151</v>
      </c>
      <c r="B64" s="118">
        <v>710315</v>
      </c>
      <c r="C64" s="119" t="s">
        <v>370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</row>
    <row r="65" spans="1:11" s="103" customFormat="1" ht="30" x14ac:dyDescent="0.25">
      <c r="A65" s="123" t="s">
        <v>24</v>
      </c>
      <c r="B65" s="124">
        <v>4892432</v>
      </c>
      <c r="C65" s="128" t="s">
        <v>370</v>
      </c>
      <c r="D65" s="126">
        <v>115.47</v>
      </c>
      <c r="E65" s="127">
        <v>227</v>
      </c>
      <c r="F65" s="126"/>
      <c r="G65" s="127"/>
      <c r="H65" s="126"/>
      <c r="I65" s="127"/>
      <c r="J65" s="125" t="s">
        <v>33</v>
      </c>
      <c r="K65" s="123"/>
    </row>
    <row r="66" spans="1:11" s="15" customFormat="1" ht="30" x14ac:dyDescent="0.25">
      <c r="A66" s="117" t="s">
        <v>21</v>
      </c>
      <c r="B66" s="118">
        <v>4968878</v>
      </c>
      <c r="C66" s="119" t="s">
        <v>370</v>
      </c>
      <c r="D66" s="120">
        <v>80.36</v>
      </c>
      <c r="E66" s="121">
        <v>824</v>
      </c>
      <c r="F66" s="120"/>
      <c r="G66" s="121"/>
      <c r="H66" s="120"/>
      <c r="I66" s="121"/>
      <c r="J66" s="122" t="s">
        <v>33</v>
      </c>
      <c r="K66" s="117"/>
    </row>
    <row r="67" spans="1:11" s="15" customFormat="1" ht="30" x14ac:dyDescent="0.25">
      <c r="A67" s="117" t="s">
        <v>31</v>
      </c>
      <c r="B67" s="118">
        <v>5041139</v>
      </c>
      <c r="C67" s="119" t="s">
        <v>370</v>
      </c>
      <c r="D67" s="120">
        <v>103</v>
      </c>
      <c r="E67" s="121">
        <v>1108</v>
      </c>
      <c r="F67" s="120"/>
      <c r="G67" s="121"/>
      <c r="H67" s="120"/>
      <c r="I67" s="121"/>
      <c r="J67" s="122" t="s">
        <v>33</v>
      </c>
      <c r="K67" s="117"/>
    </row>
    <row r="68" spans="1:11" s="15" customFormat="1" ht="30" x14ac:dyDescent="0.25">
      <c r="A68" s="117" t="s">
        <v>256</v>
      </c>
      <c r="B68" s="118">
        <v>5276024</v>
      </c>
      <c r="C68" s="119" t="s">
        <v>370</v>
      </c>
      <c r="D68" s="120">
        <v>22.58</v>
      </c>
      <c r="E68" s="121">
        <v>150</v>
      </c>
      <c r="F68" s="120"/>
      <c r="G68" s="121"/>
      <c r="H68" s="120"/>
      <c r="I68" s="121"/>
      <c r="J68" s="122" t="s">
        <v>33</v>
      </c>
      <c r="K68" s="117"/>
    </row>
    <row r="69" spans="1:11" s="15" customFormat="1" x14ac:dyDescent="0.25">
      <c r="A69" s="117" t="s">
        <v>250</v>
      </c>
      <c r="B69" s="140">
        <v>7391</v>
      </c>
      <c r="C69" s="119" t="s">
        <v>370</v>
      </c>
      <c r="D69" s="120">
        <v>20.49</v>
      </c>
      <c r="E69" s="121">
        <v>74</v>
      </c>
      <c r="F69" s="120"/>
      <c r="G69" s="121"/>
      <c r="H69" s="120"/>
      <c r="I69" s="121"/>
      <c r="J69" s="122" t="s">
        <v>33</v>
      </c>
      <c r="K69" s="117"/>
    </row>
    <row r="70" spans="1:11" s="103" customFormat="1" x14ac:dyDescent="0.25">
      <c r="A70" s="123" t="s">
        <v>250</v>
      </c>
      <c r="B70" s="137">
        <v>7422</v>
      </c>
      <c r="C70" s="128" t="s">
        <v>370</v>
      </c>
      <c r="D70" s="126">
        <v>33.24</v>
      </c>
      <c r="E70" s="127">
        <v>234</v>
      </c>
      <c r="F70" s="126"/>
      <c r="G70" s="127"/>
      <c r="H70" s="126"/>
      <c r="I70" s="127"/>
      <c r="J70" s="125" t="s">
        <v>33</v>
      </c>
      <c r="K70" s="123"/>
    </row>
    <row r="71" spans="1:11" ht="45" x14ac:dyDescent="0.25">
      <c r="A71" s="109" t="s">
        <v>49</v>
      </c>
      <c r="B71" s="110"/>
      <c r="D71" s="107"/>
      <c r="F71" s="107"/>
      <c r="H71" s="107"/>
      <c r="K71" s="104"/>
    </row>
    <row r="72" spans="1:11" s="103" customFormat="1" ht="60" x14ac:dyDescent="0.25">
      <c r="A72" s="123" t="s">
        <v>51</v>
      </c>
      <c r="B72" s="124" t="s">
        <v>208</v>
      </c>
      <c r="C72" s="136" t="s">
        <v>362</v>
      </c>
      <c r="D72" s="126">
        <v>372</v>
      </c>
      <c r="E72" s="127">
        <v>3822</v>
      </c>
      <c r="F72" s="126"/>
      <c r="G72" s="127"/>
      <c r="H72" s="126"/>
      <c r="I72" s="127"/>
      <c r="J72" s="125" t="s">
        <v>33</v>
      </c>
      <c r="K72" s="123"/>
    </row>
    <row r="73" spans="1:11" s="103" customFormat="1" ht="60" x14ac:dyDescent="0.25">
      <c r="A73" s="123" t="s">
        <v>52</v>
      </c>
      <c r="B73" s="124" t="s">
        <v>209</v>
      </c>
      <c r="C73" s="136" t="s">
        <v>362</v>
      </c>
      <c r="D73" s="126">
        <v>160</v>
      </c>
      <c r="E73" s="127">
        <v>1402</v>
      </c>
      <c r="F73" s="126"/>
      <c r="G73" s="127"/>
      <c r="H73" s="126"/>
      <c r="I73" s="127"/>
      <c r="J73" s="125" t="s">
        <v>33</v>
      </c>
      <c r="K73" s="123"/>
    </row>
    <row r="74" spans="1:11" s="103" customFormat="1" ht="75" x14ac:dyDescent="0.25">
      <c r="A74" s="123" t="s">
        <v>54</v>
      </c>
      <c r="B74" s="124" t="s">
        <v>210</v>
      </c>
      <c r="C74" s="136" t="s">
        <v>362</v>
      </c>
      <c r="D74" s="126">
        <v>63</v>
      </c>
      <c r="E74" s="127">
        <v>350</v>
      </c>
      <c r="F74" s="126"/>
      <c r="G74" s="127"/>
      <c r="H74" s="126"/>
      <c r="I74" s="127"/>
      <c r="J74" s="125" t="s">
        <v>33</v>
      </c>
      <c r="K74" s="123"/>
    </row>
    <row r="75" spans="1:11" s="103" customFormat="1" ht="45" x14ac:dyDescent="0.25">
      <c r="A75" s="123" t="s">
        <v>55</v>
      </c>
      <c r="B75" s="124" t="s">
        <v>212</v>
      </c>
      <c r="C75" s="136" t="s">
        <v>362</v>
      </c>
      <c r="D75" s="126">
        <v>29</v>
      </c>
      <c r="E75" s="127">
        <v>109</v>
      </c>
      <c r="F75" s="126"/>
      <c r="G75" s="127"/>
      <c r="H75" s="126"/>
      <c r="I75" s="127"/>
      <c r="J75" s="125" t="s">
        <v>33</v>
      </c>
      <c r="K75" s="123"/>
    </row>
    <row r="76" spans="1:11" s="103" customFormat="1" ht="45" x14ac:dyDescent="0.25">
      <c r="A76" s="123" t="s">
        <v>56</v>
      </c>
      <c r="B76" s="124" t="s">
        <v>213</v>
      </c>
      <c r="C76" s="136" t="s">
        <v>362</v>
      </c>
      <c r="D76" s="126">
        <v>25</v>
      </c>
      <c r="E76" s="127">
        <v>69</v>
      </c>
      <c r="F76" s="126"/>
      <c r="G76" s="127"/>
      <c r="H76" s="126"/>
      <c r="I76" s="127"/>
      <c r="J76" s="125" t="s">
        <v>33</v>
      </c>
      <c r="K76" s="123"/>
    </row>
    <row r="77" spans="1:11" s="103" customFormat="1" ht="45" x14ac:dyDescent="0.25">
      <c r="A77" s="123" t="s">
        <v>57</v>
      </c>
      <c r="B77" s="124" t="s">
        <v>214</v>
      </c>
      <c r="C77" s="136" t="s">
        <v>362</v>
      </c>
      <c r="D77" s="126">
        <v>250</v>
      </c>
      <c r="E77" s="127">
        <v>2377</v>
      </c>
      <c r="F77" s="126"/>
      <c r="G77" s="127"/>
      <c r="H77" s="126"/>
      <c r="I77" s="127"/>
      <c r="J77" s="125" t="s">
        <v>33</v>
      </c>
      <c r="K77" s="123"/>
    </row>
    <row r="78" spans="1:11" s="103" customFormat="1" ht="45" x14ac:dyDescent="0.25">
      <c r="A78" s="123" t="s">
        <v>58</v>
      </c>
      <c r="B78" s="124" t="s">
        <v>215</v>
      </c>
      <c r="C78" s="136" t="s">
        <v>362</v>
      </c>
      <c r="D78" s="126">
        <v>132</v>
      </c>
      <c r="E78" s="127">
        <v>1221</v>
      </c>
      <c r="F78" s="126"/>
      <c r="G78" s="127"/>
      <c r="H78" s="126"/>
      <c r="I78" s="127"/>
      <c r="J78" s="125" t="s">
        <v>33</v>
      </c>
      <c r="K78" s="123"/>
    </row>
    <row r="79" spans="1:11" s="103" customFormat="1" ht="45" x14ac:dyDescent="0.25">
      <c r="A79" s="123" t="s">
        <v>59</v>
      </c>
      <c r="B79" s="124" t="s">
        <v>216</v>
      </c>
      <c r="C79" s="136" t="s">
        <v>362</v>
      </c>
      <c r="D79" s="126">
        <v>45</v>
      </c>
      <c r="E79" s="127">
        <v>285</v>
      </c>
      <c r="F79" s="126"/>
      <c r="G79" s="127"/>
      <c r="H79" s="126"/>
      <c r="I79" s="127"/>
      <c r="J79" s="125" t="s">
        <v>33</v>
      </c>
      <c r="K79" s="123"/>
    </row>
    <row r="80" spans="1:11" s="103" customFormat="1" ht="45" x14ac:dyDescent="0.25">
      <c r="A80" s="123" t="s">
        <v>60</v>
      </c>
      <c r="B80" s="124" t="s">
        <v>217</v>
      </c>
      <c r="C80" s="136" t="s">
        <v>362</v>
      </c>
      <c r="D80" s="126">
        <v>39</v>
      </c>
      <c r="E80" s="127">
        <v>89</v>
      </c>
      <c r="F80" s="126"/>
      <c r="G80" s="127"/>
      <c r="H80" s="126"/>
      <c r="I80" s="127"/>
      <c r="J80" s="125" t="s">
        <v>33</v>
      </c>
      <c r="K80" s="123"/>
    </row>
    <row r="81" spans="1:11" s="103" customFormat="1" ht="30" x14ac:dyDescent="0.25">
      <c r="A81" s="123" t="s">
        <v>61</v>
      </c>
      <c r="B81" s="124" t="s">
        <v>218</v>
      </c>
      <c r="C81" s="136" t="s">
        <v>362</v>
      </c>
      <c r="D81" s="126">
        <v>19</v>
      </c>
      <c r="E81" s="127">
        <v>2</v>
      </c>
      <c r="F81" s="126"/>
      <c r="G81" s="127"/>
      <c r="H81" s="126"/>
      <c r="I81" s="127"/>
      <c r="J81" s="125" t="s">
        <v>33</v>
      </c>
      <c r="K81" s="123"/>
    </row>
    <row r="82" spans="1:11" s="103" customFormat="1" ht="45" x14ac:dyDescent="0.25">
      <c r="A82" s="123" t="s">
        <v>62</v>
      </c>
      <c r="B82" s="124" t="s">
        <v>219</v>
      </c>
      <c r="C82" s="136" t="s">
        <v>362</v>
      </c>
      <c r="D82" s="126">
        <v>25</v>
      </c>
      <c r="E82" s="127">
        <v>67</v>
      </c>
      <c r="F82" s="126"/>
      <c r="G82" s="127"/>
      <c r="H82" s="126"/>
      <c r="I82" s="127"/>
      <c r="J82" s="125" t="s">
        <v>33</v>
      </c>
      <c r="K82" s="123"/>
    </row>
    <row r="83" spans="1:11" s="103" customFormat="1" ht="30" x14ac:dyDescent="0.25">
      <c r="A83" s="123" t="s">
        <v>94</v>
      </c>
      <c r="B83" s="124" t="s">
        <v>201</v>
      </c>
      <c r="C83" s="125" t="s">
        <v>362</v>
      </c>
      <c r="D83" s="126">
        <v>112</v>
      </c>
      <c r="E83" s="127">
        <v>806</v>
      </c>
      <c r="F83" s="126"/>
      <c r="G83" s="127"/>
      <c r="H83" s="126"/>
      <c r="I83" s="127"/>
      <c r="J83" s="125" t="s">
        <v>33</v>
      </c>
      <c r="K83" s="123"/>
    </row>
    <row r="84" spans="1:11" s="103" customFormat="1" ht="30" x14ac:dyDescent="0.25">
      <c r="A84" s="123" t="s">
        <v>95</v>
      </c>
      <c r="B84" s="124" t="s">
        <v>202</v>
      </c>
      <c r="C84" s="125" t="s">
        <v>362</v>
      </c>
      <c r="D84" s="126">
        <v>1492</v>
      </c>
      <c r="E84" s="127">
        <v>14880</v>
      </c>
      <c r="F84" s="126"/>
      <c r="G84" s="127"/>
      <c r="H84" s="126"/>
      <c r="I84" s="127"/>
      <c r="J84" s="125" t="s">
        <v>33</v>
      </c>
      <c r="K84" s="123"/>
    </row>
    <row r="85" spans="1:11" s="103" customFormat="1" ht="30" x14ac:dyDescent="0.25">
      <c r="A85" s="123" t="s">
        <v>96</v>
      </c>
      <c r="B85" s="124" t="s">
        <v>203</v>
      </c>
      <c r="C85" s="125" t="s">
        <v>362</v>
      </c>
      <c r="D85" s="126">
        <v>164</v>
      </c>
      <c r="E85" s="127">
        <v>1472</v>
      </c>
      <c r="F85" s="126"/>
      <c r="G85" s="127"/>
      <c r="H85" s="126"/>
      <c r="I85" s="127"/>
      <c r="J85" s="125" t="s">
        <v>33</v>
      </c>
      <c r="K85" s="123"/>
    </row>
    <row r="86" spans="1:11" s="103" customFormat="1" ht="45" x14ac:dyDescent="0.25">
      <c r="A86" s="123" t="s">
        <v>97</v>
      </c>
      <c r="B86" s="124" t="s">
        <v>204</v>
      </c>
      <c r="C86" s="125" t="s">
        <v>362</v>
      </c>
      <c r="D86" s="126">
        <v>37</v>
      </c>
      <c r="E86" s="127">
        <v>11</v>
      </c>
      <c r="F86" s="126"/>
      <c r="G86" s="127"/>
      <c r="H86" s="126"/>
      <c r="I86" s="127"/>
      <c r="J86" s="125" t="s">
        <v>33</v>
      </c>
      <c r="K86" s="123"/>
    </row>
    <row r="87" spans="1:11" s="103" customFormat="1" ht="30" x14ac:dyDescent="0.25">
      <c r="A87" s="123" t="s">
        <v>98</v>
      </c>
      <c r="B87" s="124" t="s">
        <v>205</v>
      </c>
      <c r="C87" s="125" t="s">
        <v>362</v>
      </c>
      <c r="D87" s="126">
        <v>19</v>
      </c>
      <c r="E87" s="127">
        <v>0</v>
      </c>
      <c r="F87" s="126"/>
      <c r="G87" s="127"/>
      <c r="H87" s="126"/>
      <c r="I87" s="127"/>
      <c r="J87" s="125" t="s">
        <v>33</v>
      </c>
      <c r="K87" s="123"/>
    </row>
    <row r="88" spans="1:11" s="103" customFormat="1" ht="30" x14ac:dyDescent="0.25">
      <c r="A88" s="123" t="s">
        <v>99</v>
      </c>
      <c r="B88" s="124" t="s">
        <v>206</v>
      </c>
      <c r="C88" s="125" t="s">
        <v>362</v>
      </c>
      <c r="D88" s="126">
        <v>29</v>
      </c>
      <c r="E88" s="127">
        <v>19</v>
      </c>
      <c r="F88" s="126"/>
      <c r="G88" s="127"/>
      <c r="H88" s="126"/>
      <c r="I88" s="127"/>
      <c r="J88" s="125" t="s">
        <v>33</v>
      </c>
      <c r="K88" s="123"/>
    </row>
    <row r="89" spans="1:11" s="103" customFormat="1" ht="30" x14ac:dyDescent="0.25">
      <c r="A89" s="123" t="s">
        <v>100</v>
      </c>
      <c r="B89" s="141">
        <v>1323346600</v>
      </c>
      <c r="C89" s="125" t="s">
        <v>362</v>
      </c>
      <c r="D89" s="126">
        <v>307</v>
      </c>
      <c r="E89" s="127">
        <v>2700</v>
      </c>
      <c r="F89" s="126"/>
      <c r="G89" s="127"/>
      <c r="H89" s="126"/>
      <c r="I89" s="127"/>
      <c r="J89" s="125" t="s">
        <v>33</v>
      </c>
      <c r="K89" s="123"/>
    </row>
    <row r="90" spans="1:11" s="103" customFormat="1" ht="30" x14ac:dyDescent="0.25">
      <c r="A90" s="123" t="s">
        <v>101</v>
      </c>
      <c r="B90" s="141">
        <v>1322699400</v>
      </c>
      <c r="C90" s="125" t="s">
        <v>362</v>
      </c>
      <c r="D90" s="126">
        <v>713</v>
      </c>
      <c r="E90" s="127">
        <v>2160</v>
      </c>
      <c r="F90" s="126"/>
      <c r="G90" s="127"/>
      <c r="H90" s="126"/>
      <c r="I90" s="127"/>
      <c r="J90" s="125" t="s">
        <v>33</v>
      </c>
      <c r="K90" s="123"/>
    </row>
    <row r="91" spans="1:11" s="103" customFormat="1" ht="30" x14ac:dyDescent="0.25">
      <c r="A91" s="123" t="s">
        <v>102</v>
      </c>
      <c r="B91" s="124" t="s">
        <v>200</v>
      </c>
      <c r="C91" s="125" t="s">
        <v>362</v>
      </c>
      <c r="D91" s="126">
        <v>430</v>
      </c>
      <c r="E91" s="127">
        <v>2516</v>
      </c>
      <c r="F91" s="126"/>
      <c r="G91" s="127"/>
      <c r="H91" s="126"/>
      <c r="I91" s="127"/>
      <c r="J91" s="125" t="s">
        <v>33</v>
      </c>
      <c r="K91" s="123"/>
    </row>
    <row r="92" spans="1:11" s="103" customFormat="1" ht="30" x14ac:dyDescent="0.25">
      <c r="A92" s="123" t="s">
        <v>110</v>
      </c>
      <c r="B92" s="124" t="s">
        <v>207</v>
      </c>
      <c r="C92" s="125" t="s">
        <v>362</v>
      </c>
      <c r="D92" s="126">
        <v>87</v>
      </c>
      <c r="E92" s="127">
        <v>251</v>
      </c>
      <c r="F92" s="126"/>
      <c r="G92" s="127"/>
      <c r="H92" s="126"/>
      <c r="I92" s="127"/>
      <c r="J92" s="125" t="s">
        <v>33</v>
      </c>
      <c r="K92" s="123"/>
    </row>
    <row r="93" spans="1:11" s="103" customFormat="1" ht="30" x14ac:dyDescent="0.25">
      <c r="A93" s="123" t="s">
        <v>111</v>
      </c>
      <c r="B93" s="124" t="s">
        <v>222</v>
      </c>
      <c r="C93" s="125" t="s">
        <v>362</v>
      </c>
      <c r="D93" s="126">
        <v>30</v>
      </c>
      <c r="E93" s="127">
        <v>0</v>
      </c>
      <c r="F93" s="126"/>
      <c r="G93" s="127"/>
      <c r="H93" s="126"/>
      <c r="I93" s="127"/>
      <c r="J93" s="125" t="s">
        <v>33</v>
      </c>
      <c r="K93" s="123"/>
    </row>
    <row r="94" spans="1:11" s="103" customFormat="1" ht="30" x14ac:dyDescent="0.25">
      <c r="A94" s="123" t="s">
        <v>117</v>
      </c>
      <c r="B94" s="124" t="s">
        <v>220</v>
      </c>
      <c r="C94" s="125" t="s">
        <v>362</v>
      </c>
      <c r="D94" s="126">
        <v>87</v>
      </c>
      <c r="E94" s="127">
        <v>568</v>
      </c>
      <c r="F94" s="126"/>
      <c r="G94" s="127"/>
      <c r="H94" s="126"/>
      <c r="I94" s="127"/>
      <c r="J94" s="125" t="s">
        <v>33</v>
      </c>
      <c r="K94" s="123"/>
    </row>
    <row r="95" spans="1:11" s="103" customFormat="1" ht="30" x14ac:dyDescent="0.25">
      <c r="A95" s="123" t="s">
        <v>118</v>
      </c>
      <c r="B95" s="124" t="s">
        <v>221</v>
      </c>
      <c r="C95" s="125" t="s">
        <v>362</v>
      </c>
      <c r="D95" s="126">
        <v>105</v>
      </c>
      <c r="E95" s="127">
        <v>933</v>
      </c>
      <c r="F95" s="126"/>
      <c r="G95" s="127"/>
      <c r="H95" s="126"/>
      <c r="I95" s="127"/>
      <c r="J95" s="125" t="s">
        <v>33</v>
      </c>
      <c r="K95" s="123"/>
    </row>
    <row r="96" spans="1:11" x14ac:dyDescent="0.25">
      <c r="A96" s="109" t="s">
        <v>70</v>
      </c>
      <c r="B96" s="110"/>
      <c r="D96" s="107"/>
      <c r="F96" s="107"/>
      <c r="H96" s="107"/>
      <c r="K96" s="104"/>
    </row>
    <row r="97" spans="1:11" s="103" customFormat="1" ht="30" x14ac:dyDescent="0.25">
      <c r="A97" s="123" t="s">
        <v>65</v>
      </c>
      <c r="B97" s="124" t="s">
        <v>163</v>
      </c>
      <c r="C97" s="128" t="s">
        <v>361</v>
      </c>
      <c r="D97" s="126"/>
      <c r="E97" s="127"/>
      <c r="F97" s="126"/>
      <c r="G97" s="127"/>
      <c r="H97" s="126">
        <v>315.52999999999997</v>
      </c>
      <c r="I97" s="127">
        <v>450</v>
      </c>
      <c r="J97" s="125"/>
      <c r="K97" s="123"/>
    </row>
    <row r="98" spans="1:11" s="15" customFormat="1" x14ac:dyDescent="0.25">
      <c r="A98" s="117" t="s">
        <v>37</v>
      </c>
      <c r="B98" s="118" t="s">
        <v>190</v>
      </c>
      <c r="C98" s="119" t="s">
        <v>361</v>
      </c>
      <c r="D98" s="120"/>
      <c r="E98" s="121"/>
      <c r="F98" s="120"/>
      <c r="G98" s="121"/>
      <c r="H98" s="120">
        <v>330.07</v>
      </c>
      <c r="I98" s="121">
        <v>469</v>
      </c>
      <c r="J98" s="122"/>
      <c r="K98" s="117"/>
    </row>
    <row r="99" spans="1:11" s="103" customFormat="1" ht="30" x14ac:dyDescent="0.25">
      <c r="A99" s="123" t="s">
        <v>71</v>
      </c>
      <c r="B99" s="124" t="s">
        <v>188</v>
      </c>
      <c r="C99" s="128" t="s">
        <v>361</v>
      </c>
      <c r="D99" s="126"/>
      <c r="E99" s="127"/>
      <c r="F99" s="126"/>
      <c r="G99" s="127"/>
      <c r="H99" s="126">
        <v>31.16</v>
      </c>
      <c r="I99" s="127">
        <v>15</v>
      </c>
      <c r="J99" s="125"/>
      <c r="K99" s="123"/>
    </row>
    <row r="100" spans="1:11" s="103" customFormat="1" ht="30" x14ac:dyDescent="0.25">
      <c r="A100" s="123" t="s">
        <v>72</v>
      </c>
      <c r="B100" s="124" t="s">
        <v>187</v>
      </c>
      <c r="C100" s="128" t="s">
        <v>361</v>
      </c>
      <c r="D100" s="126"/>
      <c r="E100" s="127"/>
      <c r="F100" s="126"/>
      <c r="G100" s="127"/>
      <c r="H100" s="126">
        <v>31.16</v>
      </c>
      <c r="I100" s="127">
        <v>14</v>
      </c>
      <c r="J100" s="125"/>
      <c r="K100" s="123"/>
    </row>
    <row r="101" spans="1:11" s="103" customFormat="1" ht="30" x14ac:dyDescent="0.25">
      <c r="A101" s="123" t="s">
        <v>73</v>
      </c>
      <c r="B101" s="124" t="s">
        <v>171</v>
      </c>
      <c r="C101" s="128" t="s">
        <v>361</v>
      </c>
      <c r="D101" s="126"/>
      <c r="E101" s="127"/>
      <c r="F101" s="126"/>
      <c r="G101" s="127"/>
      <c r="H101" s="126">
        <v>38.1</v>
      </c>
      <c r="I101" s="127">
        <v>33</v>
      </c>
      <c r="J101" s="125"/>
      <c r="K101" s="123"/>
    </row>
    <row r="102" spans="1:11" s="103" customFormat="1" ht="30" x14ac:dyDescent="0.25">
      <c r="A102" s="123" t="s">
        <v>74</v>
      </c>
      <c r="B102" s="124" t="s">
        <v>170</v>
      </c>
      <c r="C102" s="128" t="s">
        <v>361</v>
      </c>
      <c r="D102" s="126"/>
      <c r="E102" s="127"/>
      <c r="F102" s="126"/>
      <c r="G102" s="127"/>
      <c r="H102" s="126">
        <v>31.16</v>
      </c>
      <c r="I102" s="127">
        <v>3</v>
      </c>
      <c r="J102" s="125"/>
      <c r="K102" s="123"/>
    </row>
    <row r="103" spans="1:11" s="103" customFormat="1" ht="30" x14ac:dyDescent="0.25">
      <c r="A103" s="123" t="s">
        <v>75</v>
      </c>
      <c r="B103" s="124" t="s">
        <v>189</v>
      </c>
      <c r="C103" s="128" t="s">
        <v>361</v>
      </c>
      <c r="D103" s="126"/>
      <c r="E103" s="127"/>
      <c r="F103" s="126"/>
      <c r="G103" s="127"/>
      <c r="H103" s="126">
        <v>61.6</v>
      </c>
      <c r="I103" s="127">
        <v>77</v>
      </c>
      <c r="J103" s="125"/>
      <c r="K103" s="123"/>
    </row>
    <row r="104" spans="1:11" s="103" customFormat="1" ht="30" x14ac:dyDescent="0.25">
      <c r="A104" s="123" t="s">
        <v>76</v>
      </c>
      <c r="B104" s="124" t="s">
        <v>169</v>
      </c>
      <c r="C104" s="128" t="s">
        <v>361</v>
      </c>
      <c r="D104" s="126"/>
      <c r="E104" s="127"/>
      <c r="F104" s="126"/>
      <c r="G104" s="127"/>
      <c r="H104" s="126">
        <v>31.16</v>
      </c>
      <c r="I104" s="127">
        <v>1</v>
      </c>
      <c r="J104" s="125"/>
      <c r="K104" s="123"/>
    </row>
    <row r="105" spans="1:11" s="103" customFormat="1" ht="30" x14ac:dyDescent="0.25">
      <c r="A105" s="123" t="s">
        <v>77</v>
      </c>
      <c r="B105" s="124" t="s">
        <v>168</v>
      </c>
      <c r="C105" s="128" t="s">
        <v>361</v>
      </c>
      <c r="D105" s="126"/>
      <c r="E105" s="127"/>
      <c r="F105" s="126"/>
      <c r="G105" s="127"/>
      <c r="H105" s="126">
        <v>203.75</v>
      </c>
      <c r="I105" s="127">
        <v>296</v>
      </c>
      <c r="J105" s="125"/>
      <c r="K105" s="123"/>
    </row>
    <row r="106" spans="1:11" s="103" customFormat="1" ht="30" x14ac:dyDescent="0.25">
      <c r="A106" s="123" t="s">
        <v>78</v>
      </c>
      <c r="B106" s="124" t="s">
        <v>197</v>
      </c>
      <c r="C106" s="128" t="s">
        <v>361</v>
      </c>
      <c r="D106" s="126"/>
      <c r="E106" s="127"/>
      <c r="F106" s="126"/>
      <c r="G106" s="127"/>
      <c r="H106" s="126">
        <v>31.16</v>
      </c>
      <c r="I106" s="127">
        <v>9</v>
      </c>
      <c r="J106" s="125"/>
      <c r="K106" s="123"/>
    </row>
    <row r="107" spans="1:11" s="103" customFormat="1" ht="30" x14ac:dyDescent="0.25">
      <c r="A107" s="123" t="s">
        <v>79</v>
      </c>
      <c r="B107" s="124" t="s">
        <v>167</v>
      </c>
      <c r="C107" s="128" t="s">
        <v>361</v>
      </c>
      <c r="D107" s="126"/>
      <c r="E107" s="127"/>
      <c r="F107" s="126"/>
      <c r="G107" s="127"/>
      <c r="H107" s="126">
        <v>31.16</v>
      </c>
      <c r="I107" s="127">
        <v>0</v>
      </c>
      <c r="J107" s="125"/>
      <c r="K107" s="123"/>
    </row>
    <row r="108" spans="1:11" s="103" customFormat="1" ht="30" x14ac:dyDescent="0.25">
      <c r="A108" s="129" t="s">
        <v>80</v>
      </c>
      <c r="B108" s="130" t="s">
        <v>177</v>
      </c>
      <c r="C108" s="131" t="s">
        <v>361</v>
      </c>
      <c r="D108" s="132"/>
      <c r="E108" s="133"/>
      <c r="F108" s="132"/>
      <c r="G108" s="133"/>
      <c r="H108" s="132">
        <v>31.16</v>
      </c>
      <c r="I108" s="133">
        <v>0</v>
      </c>
      <c r="J108" s="131"/>
      <c r="K108" s="129" t="s">
        <v>315</v>
      </c>
    </row>
    <row r="109" spans="1:11" s="103" customFormat="1" ht="30" x14ac:dyDescent="0.25">
      <c r="A109" s="123" t="s">
        <v>81</v>
      </c>
      <c r="B109" s="124" t="s">
        <v>180</v>
      </c>
      <c r="C109" s="128" t="s">
        <v>361</v>
      </c>
      <c r="D109" s="126"/>
      <c r="E109" s="127"/>
      <c r="F109" s="126"/>
      <c r="G109" s="127"/>
      <c r="H109" s="126">
        <v>31.16</v>
      </c>
      <c r="I109" s="127">
        <v>0</v>
      </c>
      <c r="J109" s="125"/>
      <c r="K109" s="123"/>
    </row>
    <row r="110" spans="1:11" s="103" customFormat="1" ht="30" x14ac:dyDescent="0.25">
      <c r="A110" s="123" t="s">
        <v>82</v>
      </c>
      <c r="B110" s="124" t="s">
        <v>179</v>
      </c>
      <c r="C110" s="128" t="s">
        <v>361</v>
      </c>
      <c r="D110" s="126"/>
      <c r="E110" s="127"/>
      <c r="F110" s="126"/>
      <c r="G110" s="127"/>
      <c r="H110" s="126">
        <v>31.16</v>
      </c>
      <c r="I110" s="127">
        <v>2</v>
      </c>
      <c r="J110" s="125"/>
      <c r="K110" s="123"/>
    </row>
    <row r="111" spans="1:11" s="103" customFormat="1" ht="30" x14ac:dyDescent="0.25">
      <c r="A111" s="123" t="s">
        <v>83</v>
      </c>
      <c r="B111" s="124" t="s">
        <v>178</v>
      </c>
      <c r="C111" s="128" t="s">
        <v>361</v>
      </c>
      <c r="D111" s="126"/>
      <c r="E111" s="127"/>
      <c r="F111" s="126"/>
      <c r="G111" s="127"/>
      <c r="H111" s="126">
        <v>31.16</v>
      </c>
      <c r="I111" s="127">
        <v>1</v>
      </c>
      <c r="J111" s="125"/>
      <c r="K111" s="123"/>
    </row>
    <row r="112" spans="1:11" s="103" customFormat="1" ht="30" x14ac:dyDescent="0.25">
      <c r="A112" s="123" t="s">
        <v>84</v>
      </c>
      <c r="B112" s="124" t="s">
        <v>175</v>
      </c>
      <c r="C112" s="128" t="s">
        <v>361</v>
      </c>
      <c r="D112" s="126"/>
      <c r="E112" s="127"/>
      <c r="F112" s="126"/>
      <c r="G112" s="127"/>
      <c r="H112" s="126">
        <v>31.16</v>
      </c>
      <c r="I112" s="127">
        <v>5</v>
      </c>
      <c r="J112" s="125"/>
      <c r="K112" s="123"/>
    </row>
    <row r="113" spans="1:11" s="103" customFormat="1" ht="30" x14ac:dyDescent="0.25">
      <c r="A113" s="123" t="s">
        <v>85</v>
      </c>
      <c r="B113" s="124" t="s">
        <v>184</v>
      </c>
      <c r="C113" s="128" t="s">
        <v>361</v>
      </c>
      <c r="D113" s="126"/>
      <c r="E113" s="127"/>
      <c r="F113" s="126"/>
      <c r="G113" s="127"/>
      <c r="H113" s="126">
        <v>31.16</v>
      </c>
      <c r="I113" s="127">
        <v>0</v>
      </c>
      <c r="J113" s="125"/>
      <c r="K113" s="123"/>
    </row>
    <row r="114" spans="1:11" s="103" customFormat="1" ht="30" x14ac:dyDescent="0.25">
      <c r="A114" s="123" t="s">
        <v>86</v>
      </c>
      <c r="B114" s="124" t="s">
        <v>185</v>
      </c>
      <c r="C114" s="128" t="s">
        <v>361</v>
      </c>
      <c r="D114" s="126"/>
      <c r="E114" s="127"/>
      <c r="F114" s="126"/>
      <c r="G114" s="127"/>
      <c r="H114" s="126">
        <v>79.069999999999993</v>
      </c>
      <c r="I114" s="127">
        <v>108</v>
      </c>
      <c r="J114" s="125"/>
      <c r="K114" s="123"/>
    </row>
    <row r="115" spans="1:11" s="103" customFormat="1" ht="30" x14ac:dyDescent="0.25">
      <c r="A115" s="123" t="s">
        <v>87</v>
      </c>
      <c r="B115" s="124" t="s">
        <v>181</v>
      </c>
      <c r="C115" s="128" t="s">
        <v>361</v>
      </c>
      <c r="D115" s="126"/>
      <c r="E115" s="127"/>
      <c r="F115" s="126"/>
      <c r="G115" s="127"/>
      <c r="H115" s="126">
        <v>31.16</v>
      </c>
      <c r="I115" s="127">
        <v>1</v>
      </c>
      <c r="J115" s="125"/>
      <c r="K115" s="123"/>
    </row>
    <row r="116" spans="1:11" s="103" customFormat="1" ht="30" x14ac:dyDescent="0.25">
      <c r="A116" s="123" t="s">
        <v>88</v>
      </c>
      <c r="B116" s="124" t="s">
        <v>172</v>
      </c>
      <c r="C116" s="128" t="s">
        <v>361</v>
      </c>
      <c r="D116" s="126"/>
      <c r="E116" s="127"/>
      <c r="F116" s="126"/>
      <c r="G116" s="127"/>
      <c r="H116" s="126">
        <v>863.27</v>
      </c>
      <c r="I116" s="127">
        <v>1166</v>
      </c>
      <c r="J116" s="125"/>
      <c r="K116" s="123"/>
    </row>
    <row r="117" spans="1:11" s="103" customFormat="1" ht="45" x14ac:dyDescent="0.25">
      <c r="A117" s="123" t="s">
        <v>89</v>
      </c>
      <c r="B117" s="124" t="s">
        <v>173</v>
      </c>
      <c r="C117" s="128" t="s">
        <v>361</v>
      </c>
      <c r="D117" s="126"/>
      <c r="E117" s="127"/>
      <c r="F117" s="126"/>
      <c r="G117" s="127"/>
      <c r="H117" s="126">
        <v>181.84</v>
      </c>
      <c r="I117" s="127">
        <v>265</v>
      </c>
      <c r="J117" s="125"/>
      <c r="K117" s="123"/>
    </row>
    <row r="118" spans="1:11" s="103" customFormat="1" ht="30" x14ac:dyDescent="0.25">
      <c r="A118" s="123" t="s">
        <v>90</v>
      </c>
      <c r="B118" s="124" t="s">
        <v>174</v>
      </c>
      <c r="C118" s="128" t="s">
        <v>361</v>
      </c>
      <c r="D118" s="126"/>
      <c r="E118" s="127"/>
      <c r="F118" s="126"/>
      <c r="G118" s="127"/>
      <c r="H118" s="126">
        <v>31.16</v>
      </c>
      <c r="I118" s="127">
        <v>0</v>
      </c>
      <c r="J118" s="125"/>
      <c r="K118" s="123"/>
    </row>
    <row r="119" spans="1:11" s="103" customFormat="1" ht="30" x14ac:dyDescent="0.25">
      <c r="A119" s="123" t="s">
        <v>91</v>
      </c>
      <c r="B119" s="124" t="s">
        <v>182</v>
      </c>
      <c r="C119" s="128" t="s">
        <v>361</v>
      </c>
      <c r="D119" s="126"/>
      <c r="E119" s="127"/>
      <c r="F119" s="126"/>
      <c r="G119" s="127"/>
      <c r="H119" s="126">
        <v>31.16</v>
      </c>
      <c r="I119" s="127">
        <v>15</v>
      </c>
      <c r="J119" s="125"/>
      <c r="K119" s="123"/>
    </row>
    <row r="120" spans="1:11" s="103" customFormat="1" ht="30" x14ac:dyDescent="0.25">
      <c r="A120" s="123" t="s">
        <v>92</v>
      </c>
      <c r="B120" s="124" t="s">
        <v>186</v>
      </c>
      <c r="C120" s="128" t="s">
        <v>361</v>
      </c>
      <c r="D120" s="126"/>
      <c r="E120" s="127"/>
      <c r="F120" s="126"/>
      <c r="G120" s="127"/>
      <c r="H120" s="126">
        <v>31.16</v>
      </c>
      <c r="I120" s="127">
        <v>5</v>
      </c>
      <c r="J120" s="125"/>
      <c r="K120" s="123"/>
    </row>
    <row r="121" spans="1:11" s="103" customFormat="1" ht="30" x14ac:dyDescent="0.25">
      <c r="A121" s="123" t="s">
        <v>93</v>
      </c>
      <c r="B121" s="124" t="s">
        <v>183</v>
      </c>
      <c r="C121" s="128" t="s">
        <v>361</v>
      </c>
      <c r="D121" s="126"/>
      <c r="E121" s="127"/>
      <c r="F121" s="126"/>
      <c r="G121" s="127"/>
      <c r="H121" s="126">
        <v>31.16</v>
      </c>
      <c r="I121" s="127">
        <v>19</v>
      </c>
      <c r="J121" s="125"/>
      <c r="K121" s="123"/>
    </row>
    <row r="122" spans="1:11" s="103" customFormat="1" ht="30" x14ac:dyDescent="0.25">
      <c r="A122" s="123" t="s">
        <v>103</v>
      </c>
      <c r="B122" s="124" t="s">
        <v>194</v>
      </c>
      <c r="C122" s="128" t="s">
        <v>362</v>
      </c>
      <c r="D122" s="126"/>
      <c r="E122" s="127"/>
      <c r="F122" s="126"/>
      <c r="G122" s="127"/>
      <c r="H122" s="126" t="s">
        <v>383</v>
      </c>
      <c r="I122" s="127">
        <v>4</v>
      </c>
      <c r="J122" s="125"/>
      <c r="K122" s="123"/>
    </row>
    <row r="123" spans="1:11" s="103" customFormat="1" ht="45" x14ac:dyDescent="0.25">
      <c r="A123" s="123" t="s">
        <v>104</v>
      </c>
      <c r="B123" s="124" t="s">
        <v>195</v>
      </c>
      <c r="C123" s="128" t="s">
        <v>362</v>
      </c>
      <c r="D123" s="126"/>
      <c r="E123" s="127"/>
      <c r="F123" s="126"/>
      <c r="G123" s="127"/>
      <c r="H123" s="126">
        <v>31.16</v>
      </c>
      <c r="I123" s="127">
        <v>16</v>
      </c>
      <c r="J123" s="125"/>
      <c r="K123" s="123"/>
    </row>
    <row r="124" spans="1:11" s="15" customFormat="1" ht="30" x14ac:dyDescent="0.25">
      <c r="A124" s="117" t="s">
        <v>105</v>
      </c>
      <c r="B124" s="118" t="s">
        <v>196</v>
      </c>
      <c r="C124" s="119" t="s">
        <v>362</v>
      </c>
      <c r="D124" s="120"/>
      <c r="E124" s="121"/>
      <c r="F124" s="120"/>
      <c r="G124" s="121"/>
      <c r="H124" s="120">
        <v>46.74</v>
      </c>
      <c r="I124" s="121">
        <v>3</v>
      </c>
      <c r="J124" s="122"/>
      <c r="K124" s="117"/>
    </row>
    <row r="125" spans="1:11" s="103" customFormat="1" ht="30" x14ac:dyDescent="0.25">
      <c r="A125" s="123" t="s">
        <v>68</v>
      </c>
      <c r="B125" s="124" t="s">
        <v>166</v>
      </c>
      <c r="C125" s="128" t="s">
        <v>362</v>
      </c>
      <c r="D125" s="126"/>
      <c r="E125" s="127"/>
      <c r="F125" s="126"/>
      <c r="G125" s="127"/>
      <c r="H125" s="126">
        <v>40.770000000000003</v>
      </c>
      <c r="I125" s="127">
        <v>38</v>
      </c>
      <c r="J125" s="125"/>
      <c r="K125" s="123"/>
    </row>
    <row r="126" spans="1:11" s="15" customFormat="1" ht="30" x14ac:dyDescent="0.25">
      <c r="A126" s="117" t="s">
        <v>46</v>
      </c>
      <c r="B126" s="118" t="s">
        <v>193</v>
      </c>
      <c r="C126" s="119" t="s">
        <v>362</v>
      </c>
      <c r="D126" s="120"/>
      <c r="E126" s="121"/>
      <c r="F126" s="120"/>
      <c r="G126" s="121"/>
      <c r="H126" s="120">
        <v>31.16</v>
      </c>
      <c r="I126" s="121">
        <v>17</v>
      </c>
      <c r="J126" s="122"/>
      <c r="K126" s="117"/>
    </row>
    <row r="127" spans="1:11" s="103" customFormat="1" ht="30" x14ac:dyDescent="0.25">
      <c r="A127" s="123" t="s">
        <v>17</v>
      </c>
      <c r="B127" s="124" t="s">
        <v>192</v>
      </c>
      <c r="C127" s="128" t="s">
        <v>361</v>
      </c>
      <c r="D127" s="126"/>
      <c r="E127" s="127"/>
      <c r="F127" s="126"/>
      <c r="G127" s="127"/>
      <c r="H127" s="126">
        <v>31.16</v>
      </c>
      <c r="I127" s="127">
        <v>0</v>
      </c>
      <c r="J127" s="125"/>
      <c r="K127" s="123"/>
    </row>
    <row r="128" spans="1:11" s="15" customFormat="1" ht="30" x14ac:dyDescent="0.25">
      <c r="A128" s="117" t="s">
        <v>47</v>
      </c>
      <c r="B128" s="118" t="s">
        <v>139</v>
      </c>
      <c r="C128" s="119" t="s">
        <v>362</v>
      </c>
      <c r="D128" s="120"/>
      <c r="E128" s="121"/>
      <c r="F128" s="120"/>
      <c r="G128" s="121"/>
      <c r="H128" s="120">
        <v>50.92</v>
      </c>
      <c r="I128" s="121">
        <v>57</v>
      </c>
      <c r="J128" s="122"/>
      <c r="K128" s="117"/>
    </row>
    <row r="129" spans="1:11" s="15" customFormat="1" ht="30" x14ac:dyDescent="0.25">
      <c r="A129" s="117" t="s">
        <v>64</v>
      </c>
      <c r="B129" s="118" t="s">
        <v>191</v>
      </c>
      <c r="C129" s="119" t="s">
        <v>362</v>
      </c>
      <c r="D129" s="120"/>
      <c r="E129" s="121"/>
      <c r="F129" s="120"/>
      <c r="G129" s="121"/>
      <c r="H129" s="120">
        <v>241.22</v>
      </c>
      <c r="I129" s="121">
        <v>349</v>
      </c>
      <c r="J129" s="122"/>
      <c r="K129" s="117"/>
    </row>
    <row r="130" spans="1:11" s="15" customFormat="1" ht="30" x14ac:dyDescent="0.25">
      <c r="A130" s="117" t="s">
        <v>130</v>
      </c>
      <c r="B130" s="118" t="s">
        <v>131</v>
      </c>
      <c r="C130" s="119" t="s">
        <v>362</v>
      </c>
      <c r="D130" s="120"/>
      <c r="E130" s="121"/>
      <c r="F130" s="120"/>
      <c r="G130" s="121"/>
      <c r="H130" s="120">
        <v>1733.08</v>
      </c>
      <c r="I130" s="121">
        <v>2303</v>
      </c>
      <c r="J130" s="122"/>
      <c r="K130" s="117"/>
    </row>
    <row r="131" spans="1:11" s="15" customFormat="1" ht="30" x14ac:dyDescent="0.25">
      <c r="A131" s="117" t="s">
        <v>134</v>
      </c>
      <c r="B131" s="118" t="s">
        <v>133</v>
      </c>
      <c r="C131" s="119" t="s">
        <v>362</v>
      </c>
      <c r="D131" s="120"/>
      <c r="E131" s="121"/>
      <c r="F131" s="120"/>
      <c r="G131" s="121"/>
      <c r="H131" s="120">
        <v>32.76</v>
      </c>
      <c r="I131" s="121">
        <v>23</v>
      </c>
      <c r="J131" s="122"/>
      <c r="K131" s="117"/>
    </row>
    <row r="132" spans="1:11" s="15" customFormat="1" ht="30" x14ac:dyDescent="0.25">
      <c r="A132" s="117" t="s">
        <v>309</v>
      </c>
      <c r="B132" s="118" t="s">
        <v>135</v>
      </c>
      <c r="C132" s="119" t="s">
        <v>362</v>
      </c>
      <c r="D132" s="120"/>
      <c r="E132" s="121"/>
      <c r="F132" s="120"/>
      <c r="G132" s="121"/>
      <c r="H132" s="120">
        <v>1648.93</v>
      </c>
      <c r="I132" s="121">
        <v>2193</v>
      </c>
      <c r="J132" s="122"/>
      <c r="K132" s="117"/>
    </row>
    <row r="133" spans="1:11" s="15" customFormat="1" x14ac:dyDescent="0.25">
      <c r="A133" s="117" t="s">
        <v>137</v>
      </c>
      <c r="B133" s="118" t="s">
        <v>138</v>
      </c>
      <c r="C133" s="119" t="s">
        <v>362</v>
      </c>
      <c r="D133" s="120"/>
      <c r="E133" s="121"/>
      <c r="F133" s="120"/>
      <c r="G133" s="121"/>
      <c r="H133" s="120">
        <v>31.16</v>
      </c>
      <c r="I133" s="121">
        <v>7</v>
      </c>
      <c r="J133" s="122"/>
      <c r="K133" s="117"/>
    </row>
    <row r="134" spans="1:11" s="15" customFormat="1" ht="30" x14ac:dyDescent="0.25">
      <c r="A134" s="117" t="s">
        <v>140</v>
      </c>
      <c r="B134" s="118" t="s">
        <v>141</v>
      </c>
      <c r="C134" s="138" t="s">
        <v>372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</row>
    <row r="135" spans="1:11" s="15" customFormat="1" x14ac:dyDescent="0.25">
      <c r="A135" s="117" t="s">
        <v>142</v>
      </c>
      <c r="B135" s="118" t="s">
        <v>143</v>
      </c>
      <c r="C135" s="119" t="s">
        <v>362</v>
      </c>
      <c r="D135" s="120"/>
      <c r="E135" s="121"/>
      <c r="F135" s="120"/>
      <c r="G135" s="121"/>
      <c r="H135" s="120">
        <v>40.24</v>
      </c>
      <c r="I135" s="121">
        <v>37</v>
      </c>
      <c r="J135" s="122"/>
      <c r="K135" s="117"/>
    </row>
    <row r="136" spans="1:11" s="15" customFormat="1" x14ac:dyDescent="0.25">
      <c r="A136" s="117" t="s">
        <v>144</v>
      </c>
      <c r="B136" s="118" t="s">
        <v>145</v>
      </c>
      <c r="C136" s="119" t="s">
        <v>362</v>
      </c>
      <c r="D136" s="120"/>
      <c r="E136" s="121"/>
      <c r="F136" s="120"/>
      <c r="G136" s="121"/>
      <c r="H136" s="120">
        <v>408.86</v>
      </c>
      <c r="I136" s="121">
        <v>572</v>
      </c>
      <c r="J136" s="122"/>
      <c r="K136" s="117"/>
    </row>
    <row r="137" spans="1:11" s="15" customFormat="1" x14ac:dyDescent="0.25">
      <c r="A137" s="117" t="s">
        <v>146</v>
      </c>
      <c r="B137" s="118" t="s">
        <v>147</v>
      </c>
      <c r="C137" s="119" t="s">
        <v>362</v>
      </c>
      <c r="D137" s="120"/>
      <c r="E137" s="121"/>
      <c r="F137" s="120"/>
      <c r="G137" s="121"/>
      <c r="H137" s="120">
        <v>370.61</v>
      </c>
      <c r="I137" s="121">
        <v>522</v>
      </c>
      <c r="J137" s="122"/>
      <c r="K137" s="117"/>
    </row>
    <row r="138" spans="1:11" s="15" customFormat="1" x14ac:dyDescent="0.25">
      <c r="A138" s="117" t="s">
        <v>176</v>
      </c>
      <c r="B138" s="118" t="s">
        <v>165</v>
      </c>
      <c r="C138" s="119" t="s">
        <v>376</v>
      </c>
      <c r="D138" s="120"/>
      <c r="E138" s="121"/>
      <c r="F138" s="120"/>
      <c r="G138" s="121"/>
      <c r="H138" s="120">
        <v>244.76</v>
      </c>
      <c r="I138" s="121">
        <v>354</v>
      </c>
      <c r="J138" s="122"/>
      <c r="K138" s="117"/>
    </row>
    <row r="139" spans="1:11" ht="30" x14ac:dyDescent="0.25">
      <c r="A139" s="109" t="s">
        <v>106</v>
      </c>
      <c r="B139" s="110"/>
      <c r="D139" s="107"/>
      <c r="F139" s="107"/>
      <c r="H139" s="107"/>
      <c r="K139" s="104"/>
    </row>
    <row r="140" spans="1:11" s="103" customFormat="1" ht="30" x14ac:dyDescent="0.25">
      <c r="A140" s="123" t="s">
        <v>107</v>
      </c>
      <c r="B140" s="124">
        <v>67</v>
      </c>
      <c r="C140" s="128" t="s">
        <v>373</v>
      </c>
      <c r="D140" s="126"/>
      <c r="E140" s="127"/>
      <c r="F140" s="126"/>
      <c r="G140" s="127"/>
      <c r="H140" s="126">
        <v>50</v>
      </c>
      <c r="I140" s="127">
        <v>100</v>
      </c>
      <c r="J140" s="125"/>
      <c r="K140" s="123"/>
    </row>
    <row r="141" spans="1:11" s="103" customFormat="1" ht="30" x14ac:dyDescent="0.25">
      <c r="A141" s="123" t="s">
        <v>109</v>
      </c>
      <c r="B141" s="124">
        <v>95</v>
      </c>
      <c r="C141" s="125" t="s">
        <v>348</v>
      </c>
      <c r="D141" s="126"/>
      <c r="E141" s="127"/>
      <c r="F141" s="126"/>
      <c r="G141" s="127"/>
      <c r="H141" s="126">
        <v>52.4</v>
      </c>
      <c r="I141" s="127">
        <v>2500</v>
      </c>
      <c r="J141" s="125"/>
      <c r="K141" s="123"/>
    </row>
    <row r="142" spans="1:11" x14ac:dyDescent="0.25">
      <c r="A142" s="112" t="s">
        <v>155</v>
      </c>
      <c r="B142" s="115"/>
      <c r="D142" s="107"/>
      <c r="F142" s="107"/>
      <c r="H142" s="107"/>
      <c r="K142" s="104"/>
    </row>
    <row r="143" spans="1:11" s="103" customFormat="1" ht="30" x14ac:dyDescent="0.25">
      <c r="A143" s="123" t="s">
        <v>156</v>
      </c>
      <c r="B143" s="135">
        <v>61</v>
      </c>
      <c r="C143" s="136">
        <v>42292</v>
      </c>
      <c r="D143" s="126"/>
      <c r="E143" s="127"/>
      <c r="F143" s="126"/>
      <c r="G143" s="127"/>
      <c r="H143" s="126">
        <v>220.38</v>
      </c>
      <c r="I143" s="127">
        <v>17230</v>
      </c>
      <c r="J143" s="125"/>
      <c r="K143" s="123"/>
    </row>
    <row r="144" spans="1:11" ht="30" x14ac:dyDescent="0.25">
      <c r="A144" s="109" t="s">
        <v>39</v>
      </c>
      <c r="B144" s="110"/>
      <c r="D144" s="107"/>
      <c r="F144" s="107"/>
      <c r="H144" s="107"/>
      <c r="K144" s="104"/>
    </row>
    <row r="145" spans="1:11" s="103" customFormat="1" ht="60" x14ac:dyDescent="0.25">
      <c r="A145" s="123" t="s">
        <v>40</v>
      </c>
      <c r="B145" s="124">
        <v>95</v>
      </c>
      <c r="C145" s="136">
        <v>42277</v>
      </c>
      <c r="D145" s="126"/>
      <c r="E145" s="127"/>
      <c r="F145" s="126"/>
      <c r="G145" s="127"/>
      <c r="H145" s="126">
        <v>16</v>
      </c>
      <c r="I145" s="127">
        <v>400</v>
      </c>
      <c r="J145" s="125"/>
      <c r="K145" s="123"/>
    </row>
    <row r="146" spans="1:11" ht="45" x14ac:dyDescent="0.25">
      <c r="A146" s="109" t="s">
        <v>354</v>
      </c>
      <c r="B146" s="105"/>
      <c r="C146" s="111"/>
      <c r="D146" s="107"/>
      <c r="F146" s="107"/>
      <c r="H146" s="107"/>
      <c r="K146" s="104"/>
    </row>
    <row r="147" spans="1:11" ht="30" x14ac:dyDescent="0.25">
      <c r="A147" s="104" t="s">
        <v>355</v>
      </c>
      <c r="B147" s="105" t="s">
        <v>356</v>
      </c>
      <c r="C147" s="111" t="s">
        <v>357</v>
      </c>
      <c r="D147" s="107"/>
      <c r="F147" s="107"/>
      <c r="H147" s="107">
        <v>10</v>
      </c>
      <c r="I147" s="108">
        <v>0</v>
      </c>
      <c r="K147" s="104"/>
    </row>
    <row r="148" spans="1:11" x14ac:dyDescent="0.25">
      <c r="D148" s="116">
        <f t="shared" ref="D148:H148" si="0">SUM(D2:D145)</f>
        <v>29469.600000000006</v>
      </c>
      <c r="E148" s="108">
        <f t="shared" si="0"/>
        <v>249904</v>
      </c>
      <c r="F148" s="116">
        <f t="shared" si="0"/>
        <v>1328.4500000000003</v>
      </c>
      <c r="G148" s="108">
        <f t="shared" si="0"/>
        <v>1797</v>
      </c>
      <c r="H148" s="116">
        <f t="shared" si="0"/>
        <v>7956.4199999999983</v>
      </c>
      <c r="I148" s="108">
        <f>SUM(I2:I145)</f>
        <v>29679</v>
      </c>
      <c r="J148" s="116"/>
    </row>
  </sheetData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148"/>
  <sheetViews>
    <sheetView workbookViewId="0">
      <pane ySplit="1" topLeftCell="A110" activePane="bottomLeft" state="frozen"/>
      <selection pane="bottomLeft" activeCell="A116" sqref="A116"/>
    </sheetView>
  </sheetViews>
  <sheetFormatPr defaultRowHeight="15" x14ac:dyDescent="0.25"/>
  <cols>
    <col min="1" max="1" width="18.5703125" style="28" customWidth="1"/>
    <col min="2" max="2" width="12.28515625" style="28" bestFit="1" customWidth="1"/>
    <col min="3" max="3" width="23.5703125" style="28" bestFit="1" customWidth="1"/>
    <col min="4" max="4" width="11.5703125" style="28" bestFit="1" customWidth="1"/>
    <col min="5" max="5" width="12.5703125" style="90" bestFit="1" customWidth="1"/>
    <col min="6" max="6" width="10.5703125" style="28" bestFit="1" customWidth="1"/>
    <col min="7" max="7" width="10.5703125" style="90" bestFit="1" customWidth="1"/>
    <col min="8" max="8" width="10.5703125" style="28" bestFit="1" customWidth="1"/>
    <col min="9" max="9" width="11.5703125" style="90" bestFit="1" customWidth="1"/>
    <col min="10" max="10" width="9.140625" style="28"/>
    <col min="11" max="11" width="15.42578125" style="28" customWidth="1"/>
    <col min="12" max="16384" width="9.140625" style="28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91"/>
    </row>
    <row r="3" spans="1:11" s="95" customFormat="1" ht="45" x14ac:dyDescent="0.25">
      <c r="A3" s="94" t="s">
        <v>339</v>
      </c>
      <c r="B3" s="66">
        <v>3038136345</v>
      </c>
      <c r="C3" s="95" t="s">
        <v>363</v>
      </c>
      <c r="D3" s="68"/>
      <c r="E3" s="96"/>
      <c r="F3" s="68">
        <v>575.01</v>
      </c>
      <c r="G3" s="96">
        <v>891</v>
      </c>
      <c r="H3" s="68"/>
      <c r="I3" s="96"/>
      <c r="J3" s="95" t="s">
        <v>10</v>
      </c>
      <c r="K3" s="94"/>
    </row>
    <row r="4" spans="1:11" s="95" customFormat="1" ht="30" x14ac:dyDescent="0.25">
      <c r="A4" s="94" t="s">
        <v>13</v>
      </c>
      <c r="B4" s="66">
        <v>3026210376</v>
      </c>
      <c r="C4" s="95" t="s">
        <v>360</v>
      </c>
      <c r="D4" s="68"/>
      <c r="E4" s="96"/>
      <c r="F4" s="68">
        <v>55.65</v>
      </c>
      <c r="G4" s="96">
        <v>22</v>
      </c>
      <c r="H4" s="68"/>
      <c r="I4" s="96"/>
      <c r="J4" s="95" t="s">
        <v>10</v>
      </c>
      <c r="K4" s="94"/>
    </row>
    <row r="5" spans="1:11" s="98" customFormat="1" ht="30" x14ac:dyDescent="0.25">
      <c r="A5" s="97" t="s">
        <v>36</v>
      </c>
      <c r="B5" s="18">
        <v>3039781986</v>
      </c>
      <c r="C5" s="98" t="s">
        <v>364</v>
      </c>
      <c r="D5" s="17"/>
      <c r="E5" s="99"/>
      <c r="F5" s="17">
        <v>42.5</v>
      </c>
      <c r="G5" s="99">
        <v>0</v>
      </c>
      <c r="H5" s="17"/>
      <c r="I5" s="99"/>
      <c r="J5" s="98" t="s">
        <v>10</v>
      </c>
      <c r="K5" s="97"/>
    </row>
    <row r="6" spans="1:11" s="98" customFormat="1" x14ac:dyDescent="0.25">
      <c r="A6" s="97" t="s">
        <v>34</v>
      </c>
      <c r="B6" s="18">
        <v>3039472917</v>
      </c>
      <c r="C6" s="15" t="s">
        <v>382</v>
      </c>
      <c r="D6" s="17"/>
      <c r="E6" s="99"/>
      <c r="F6" s="17">
        <v>56.4</v>
      </c>
      <c r="G6" s="99">
        <v>742</v>
      </c>
      <c r="H6" s="17"/>
      <c r="I6" s="99"/>
      <c r="J6" s="98" t="s">
        <v>10</v>
      </c>
      <c r="K6" s="97"/>
    </row>
    <row r="7" spans="1:11" s="95" customFormat="1" x14ac:dyDescent="0.25">
      <c r="A7" s="94" t="s">
        <v>37</v>
      </c>
      <c r="B7" s="66">
        <v>4005211270</v>
      </c>
      <c r="C7" s="95" t="s">
        <v>364</v>
      </c>
      <c r="D7" s="68"/>
      <c r="E7" s="96"/>
      <c r="F7" s="68">
        <v>48.48</v>
      </c>
      <c r="G7" s="96">
        <v>10</v>
      </c>
      <c r="H7" s="68"/>
      <c r="I7" s="96"/>
      <c r="J7" s="95" t="s">
        <v>10</v>
      </c>
      <c r="K7" s="94"/>
    </row>
    <row r="8" spans="1:11" s="95" customFormat="1" ht="45" x14ac:dyDescent="0.25">
      <c r="A8" s="94" t="s">
        <v>41</v>
      </c>
      <c r="B8" s="66">
        <v>3044004323</v>
      </c>
      <c r="C8" s="95" t="s">
        <v>365</v>
      </c>
      <c r="D8" s="68"/>
      <c r="E8" s="96"/>
      <c r="F8" s="68">
        <v>51.4</v>
      </c>
      <c r="G8" s="96">
        <v>7</v>
      </c>
      <c r="H8" s="68"/>
      <c r="I8" s="96"/>
      <c r="J8" s="95" t="s">
        <v>10</v>
      </c>
      <c r="K8" s="94"/>
    </row>
    <row r="9" spans="1:11" s="95" customFormat="1" ht="45" x14ac:dyDescent="0.25">
      <c r="A9" s="94" t="s">
        <v>42</v>
      </c>
      <c r="B9" s="66">
        <v>3029257704</v>
      </c>
      <c r="C9" s="95" t="s">
        <v>365</v>
      </c>
      <c r="D9" s="68"/>
      <c r="E9" s="96"/>
      <c r="F9" s="68">
        <v>49.21</v>
      </c>
      <c r="G9" s="96">
        <v>3</v>
      </c>
      <c r="H9" s="68"/>
      <c r="I9" s="96"/>
      <c r="J9" s="95" t="s">
        <v>10</v>
      </c>
      <c r="K9" s="94"/>
    </row>
    <row r="10" spans="1:11" s="95" customFormat="1" ht="30" x14ac:dyDescent="0.25">
      <c r="A10" s="94" t="s">
        <v>44</v>
      </c>
      <c r="B10" s="66">
        <v>3039640691</v>
      </c>
      <c r="C10" s="95" t="s">
        <v>366</v>
      </c>
      <c r="D10" s="68"/>
      <c r="E10" s="96"/>
      <c r="F10" s="68">
        <v>45.49</v>
      </c>
      <c r="G10" s="96">
        <v>5</v>
      </c>
      <c r="H10" s="68"/>
      <c r="I10" s="96"/>
      <c r="J10" s="95" t="s">
        <v>10</v>
      </c>
      <c r="K10" s="94"/>
    </row>
    <row r="11" spans="1:11" s="95" customFormat="1" ht="30" x14ac:dyDescent="0.25">
      <c r="A11" s="94" t="s">
        <v>43</v>
      </c>
      <c r="B11" s="66">
        <v>3039782225</v>
      </c>
      <c r="C11" s="95" t="s">
        <v>366</v>
      </c>
      <c r="D11" s="68"/>
      <c r="E11" s="96"/>
      <c r="F11" s="68">
        <v>65.81</v>
      </c>
      <c r="G11" s="96">
        <v>39</v>
      </c>
      <c r="H11" s="68"/>
      <c r="I11" s="96"/>
      <c r="J11" s="95" t="s">
        <v>10</v>
      </c>
      <c r="K11" s="94"/>
    </row>
    <row r="12" spans="1:11" s="95" customFormat="1" ht="45" x14ac:dyDescent="0.25">
      <c r="A12" s="94" t="s">
        <v>45</v>
      </c>
      <c r="B12" s="66">
        <v>3039618715</v>
      </c>
      <c r="C12" s="95" t="s">
        <v>365</v>
      </c>
      <c r="D12" s="68"/>
      <c r="E12" s="96"/>
      <c r="F12" s="68">
        <v>47.56</v>
      </c>
      <c r="G12" s="96">
        <v>0</v>
      </c>
      <c r="H12" s="68"/>
      <c r="I12" s="96"/>
      <c r="J12" s="95" t="s">
        <v>10</v>
      </c>
      <c r="K12" s="94"/>
    </row>
    <row r="13" spans="1:11" s="98" customFormat="1" ht="30" x14ac:dyDescent="0.25">
      <c r="A13" s="97" t="s">
        <v>46</v>
      </c>
      <c r="B13" s="18">
        <v>3023189549</v>
      </c>
      <c r="C13" s="98" t="s">
        <v>367</v>
      </c>
      <c r="D13" s="17"/>
      <c r="E13" s="99"/>
      <c r="F13" s="17">
        <v>42.5</v>
      </c>
      <c r="G13" s="99">
        <v>0</v>
      </c>
      <c r="H13" s="17"/>
      <c r="I13" s="99"/>
      <c r="J13" s="98" t="s">
        <v>10</v>
      </c>
      <c r="K13" s="97"/>
    </row>
    <row r="14" spans="1:11" ht="30" x14ac:dyDescent="0.25">
      <c r="A14" s="91" t="s">
        <v>47</v>
      </c>
      <c r="B14" s="14">
        <v>3034878837</v>
      </c>
      <c r="C14" s="28" t="s">
        <v>342</v>
      </c>
      <c r="D14" s="7"/>
      <c r="F14" s="7">
        <v>42.5</v>
      </c>
      <c r="G14" s="90">
        <v>0</v>
      </c>
      <c r="H14" s="7"/>
      <c r="J14" s="28" t="s">
        <v>10</v>
      </c>
      <c r="K14" s="91"/>
    </row>
    <row r="15" spans="1:11" s="95" customFormat="1" ht="30" x14ac:dyDescent="0.25">
      <c r="A15" s="94" t="s">
        <v>64</v>
      </c>
      <c r="B15" s="66">
        <v>3025670416</v>
      </c>
      <c r="C15" s="95" t="s">
        <v>364</v>
      </c>
      <c r="D15" s="68"/>
      <c r="E15" s="96"/>
      <c r="F15" s="68">
        <v>47.88</v>
      </c>
      <c r="G15" s="96">
        <v>9</v>
      </c>
      <c r="H15" s="68"/>
      <c r="I15" s="96"/>
      <c r="J15" s="95" t="s">
        <v>10</v>
      </c>
      <c r="K15" s="94"/>
    </row>
    <row r="16" spans="1:11" s="95" customFormat="1" ht="30" x14ac:dyDescent="0.25">
      <c r="A16" s="94" t="s">
        <v>65</v>
      </c>
      <c r="B16" s="66">
        <v>3023110891</v>
      </c>
      <c r="C16" s="95" t="s">
        <v>360</v>
      </c>
      <c r="D16" s="68"/>
      <c r="E16" s="96"/>
      <c r="F16" s="68">
        <v>83.14</v>
      </c>
      <c r="G16" s="96">
        <v>68</v>
      </c>
      <c r="H16" s="68"/>
      <c r="I16" s="96"/>
      <c r="J16" s="95" t="s">
        <v>10</v>
      </c>
      <c r="K16" s="94"/>
    </row>
    <row r="17" spans="1:11" s="95" customFormat="1" ht="30" x14ac:dyDescent="0.25">
      <c r="A17" s="94" t="s">
        <v>69</v>
      </c>
      <c r="B17" s="66">
        <v>3022125574</v>
      </c>
      <c r="C17" s="95" t="s">
        <v>368</v>
      </c>
      <c r="D17" s="68"/>
      <c r="E17" s="96"/>
      <c r="F17" s="68">
        <v>36.17</v>
      </c>
      <c r="G17" s="96">
        <v>23</v>
      </c>
      <c r="H17" s="68"/>
      <c r="I17" s="96"/>
      <c r="J17" s="95" t="s">
        <v>10</v>
      </c>
      <c r="K17" s="94"/>
    </row>
    <row r="18" spans="1:11" s="95" customFormat="1" ht="30" x14ac:dyDescent="0.25">
      <c r="A18" s="94" t="s">
        <v>68</v>
      </c>
      <c r="B18" s="66">
        <v>3022125841</v>
      </c>
      <c r="C18" s="95" t="s">
        <v>368</v>
      </c>
      <c r="D18" s="68"/>
      <c r="E18" s="96"/>
      <c r="F18" s="68">
        <v>42.5</v>
      </c>
      <c r="G18" s="96">
        <v>0</v>
      </c>
      <c r="H18" s="68"/>
      <c r="I18" s="96"/>
      <c r="J18" s="95" t="s">
        <v>10</v>
      </c>
      <c r="K18" s="94"/>
    </row>
    <row r="19" spans="1:11" x14ac:dyDescent="0.25">
      <c r="A19" s="20" t="s">
        <v>25</v>
      </c>
      <c r="B19" s="21"/>
      <c r="D19" s="7"/>
      <c r="F19" s="7"/>
      <c r="H19" s="7"/>
      <c r="K19" s="91"/>
    </row>
    <row r="20" spans="1:11" s="98" customFormat="1" ht="30" x14ac:dyDescent="0.25">
      <c r="A20" s="97" t="s">
        <v>310</v>
      </c>
      <c r="B20" s="18">
        <v>8463322</v>
      </c>
      <c r="C20" s="15" t="s">
        <v>375</v>
      </c>
      <c r="D20" s="17">
        <v>12289.28</v>
      </c>
      <c r="E20" s="99">
        <v>99700</v>
      </c>
      <c r="F20" s="17"/>
      <c r="G20" s="99"/>
      <c r="H20" s="17"/>
      <c r="I20" s="99"/>
      <c r="J20" s="98" t="s">
        <v>33</v>
      </c>
      <c r="K20" s="97"/>
    </row>
    <row r="21" spans="1:11" s="98" customFormat="1" ht="30" x14ac:dyDescent="0.25">
      <c r="A21" s="97" t="s">
        <v>113</v>
      </c>
      <c r="B21" s="18">
        <v>5089282</v>
      </c>
      <c r="C21" s="15" t="s">
        <v>375</v>
      </c>
      <c r="D21" s="17">
        <v>79.52</v>
      </c>
      <c r="E21" s="99">
        <v>600</v>
      </c>
      <c r="F21" s="17"/>
      <c r="G21" s="99"/>
      <c r="H21" s="17"/>
      <c r="I21" s="99"/>
      <c r="J21" s="98" t="s">
        <v>33</v>
      </c>
      <c r="K21" s="97"/>
    </row>
    <row r="22" spans="1:11" s="98" customFormat="1" ht="30" x14ac:dyDescent="0.25">
      <c r="A22" s="97" t="s">
        <v>252</v>
      </c>
      <c r="B22" s="98">
        <v>8239130</v>
      </c>
      <c r="C22" s="15" t="s">
        <v>375</v>
      </c>
      <c r="D22" s="17">
        <v>26.77</v>
      </c>
      <c r="E22" s="99">
        <v>153</v>
      </c>
      <c r="F22" s="17"/>
      <c r="G22" s="99"/>
      <c r="H22" s="17"/>
      <c r="I22" s="99"/>
      <c r="J22" s="98" t="s">
        <v>33</v>
      </c>
      <c r="K22" s="97"/>
    </row>
    <row r="23" spans="1:11" s="98" customFormat="1" ht="30" x14ac:dyDescent="0.25">
      <c r="A23" s="97" t="s">
        <v>114</v>
      </c>
      <c r="B23" s="18">
        <v>5089344</v>
      </c>
      <c r="C23" s="15" t="s">
        <v>375</v>
      </c>
      <c r="D23" s="17">
        <v>41.5</v>
      </c>
      <c r="E23" s="99">
        <v>338</v>
      </c>
      <c r="F23" s="17"/>
      <c r="G23" s="99"/>
      <c r="H23" s="17"/>
      <c r="I23" s="99"/>
      <c r="J23" s="98" t="s">
        <v>33</v>
      </c>
      <c r="K23" s="97"/>
    </row>
    <row r="24" spans="1:11" s="98" customFormat="1" ht="30" x14ac:dyDescent="0.25">
      <c r="A24" s="97" t="s">
        <v>19</v>
      </c>
      <c r="B24" s="18">
        <v>7010755</v>
      </c>
      <c r="C24" s="15" t="s">
        <v>375</v>
      </c>
      <c r="D24" s="17">
        <v>14.6</v>
      </c>
      <c r="E24" s="99">
        <v>0</v>
      </c>
      <c r="F24" s="17"/>
      <c r="G24" s="99"/>
      <c r="H24" s="17"/>
      <c r="I24" s="99"/>
      <c r="J24" s="98" t="s">
        <v>33</v>
      </c>
      <c r="K24" s="97"/>
    </row>
    <row r="25" spans="1:11" s="98" customFormat="1" ht="30" x14ac:dyDescent="0.25">
      <c r="A25" s="97" t="s">
        <v>115</v>
      </c>
      <c r="B25" s="18">
        <v>9261200</v>
      </c>
      <c r="C25" s="15" t="s">
        <v>375</v>
      </c>
      <c r="D25" s="17">
        <v>171.08</v>
      </c>
      <c r="E25" s="99">
        <v>1875</v>
      </c>
      <c r="F25" s="17"/>
      <c r="G25" s="99"/>
      <c r="H25" s="17"/>
      <c r="I25" s="99"/>
      <c r="J25" s="98" t="s">
        <v>33</v>
      </c>
      <c r="K25" s="97"/>
    </row>
    <row r="26" spans="1:11" s="98" customFormat="1" ht="30" x14ac:dyDescent="0.25">
      <c r="A26" s="97" t="s">
        <v>116</v>
      </c>
      <c r="B26" s="18">
        <v>5105092</v>
      </c>
      <c r="C26" s="15" t="s">
        <v>375</v>
      </c>
      <c r="D26" s="17">
        <v>1028.17</v>
      </c>
      <c r="E26" s="99">
        <v>5685</v>
      </c>
      <c r="F26" s="17"/>
      <c r="G26" s="99"/>
      <c r="H26" s="17"/>
      <c r="I26" s="99"/>
      <c r="J26" s="98" t="s">
        <v>33</v>
      </c>
      <c r="K26" s="97"/>
    </row>
    <row r="27" spans="1:11" s="98" customFormat="1" ht="30" x14ac:dyDescent="0.25">
      <c r="A27" s="97" t="s">
        <v>119</v>
      </c>
      <c r="B27" s="18">
        <v>5074402</v>
      </c>
      <c r="C27" s="15" t="s">
        <v>370</v>
      </c>
      <c r="D27" s="17">
        <v>14.6</v>
      </c>
      <c r="E27" s="99">
        <v>0</v>
      </c>
      <c r="F27" s="17"/>
      <c r="G27" s="99"/>
      <c r="H27" s="17"/>
      <c r="I27" s="99"/>
      <c r="J27" s="98" t="s">
        <v>33</v>
      </c>
      <c r="K27" s="97"/>
    </row>
    <row r="28" spans="1:11" s="98" customFormat="1" ht="30" x14ac:dyDescent="0.25">
      <c r="A28" s="97" t="s">
        <v>248</v>
      </c>
      <c r="B28" s="18">
        <v>5264802</v>
      </c>
      <c r="C28" s="15" t="s">
        <v>370</v>
      </c>
      <c r="D28" s="17">
        <v>112.17</v>
      </c>
      <c r="E28" s="99">
        <v>770</v>
      </c>
      <c r="F28" s="17"/>
      <c r="G28" s="99"/>
      <c r="H28" s="17"/>
      <c r="I28" s="99"/>
      <c r="J28" s="98" t="s">
        <v>33</v>
      </c>
      <c r="K28" s="97"/>
    </row>
    <row r="29" spans="1:11" s="98" customFormat="1" x14ac:dyDescent="0.25">
      <c r="A29" s="97" t="s">
        <v>264</v>
      </c>
      <c r="B29" s="18">
        <v>8234139</v>
      </c>
      <c r="C29" s="61" t="s">
        <v>371</v>
      </c>
      <c r="D29" s="102">
        <v>24.79</v>
      </c>
      <c r="E29" s="99">
        <v>128</v>
      </c>
      <c r="F29" s="17"/>
      <c r="G29" s="99"/>
      <c r="H29" s="17"/>
      <c r="I29" s="99"/>
      <c r="J29" s="98" t="s">
        <v>33</v>
      </c>
      <c r="K29" s="97"/>
    </row>
    <row r="30" spans="1:11" s="98" customFormat="1" x14ac:dyDescent="0.25">
      <c r="A30" s="97" t="s">
        <v>250</v>
      </c>
      <c r="B30" s="18">
        <v>5074495</v>
      </c>
      <c r="C30" s="15" t="s">
        <v>374</v>
      </c>
      <c r="D30" s="17">
        <v>33.24</v>
      </c>
      <c r="E30" s="99">
        <v>234</v>
      </c>
      <c r="F30" s="17"/>
      <c r="G30" s="99"/>
      <c r="H30" s="17"/>
      <c r="I30" s="99"/>
      <c r="J30" s="98" t="s">
        <v>33</v>
      </c>
      <c r="K30" s="97"/>
    </row>
    <row r="31" spans="1:11" s="98" customFormat="1" ht="45" x14ac:dyDescent="0.25">
      <c r="A31" s="97" t="s">
        <v>123</v>
      </c>
      <c r="B31" s="18">
        <v>5036644</v>
      </c>
      <c r="C31" s="15" t="s">
        <v>377</v>
      </c>
      <c r="D31" s="17">
        <v>136.38999999999999</v>
      </c>
      <c r="E31" s="99">
        <v>605</v>
      </c>
      <c r="F31" s="17"/>
      <c r="G31" s="99"/>
      <c r="H31" s="17"/>
      <c r="I31" s="99"/>
      <c r="J31" s="98" t="s">
        <v>33</v>
      </c>
      <c r="K31" s="97"/>
    </row>
    <row r="32" spans="1:11" s="98" customFormat="1" ht="30" x14ac:dyDescent="0.25">
      <c r="A32" s="97" t="s">
        <v>127</v>
      </c>
      <c r="B32" s="18">
        <v>5020429</v>
      </c>
      <c r="C32" s="15" t="s">
        <v>377</v>
      </c>
      <c r="D32" s="17">
        <v>22.14</v>
      </c>
      <c r="E32" s="99">
        <v>150</v>
      </c>
      <c r="F32" s="17"/>
      <c r="G32" s="99"/>
      <c r="H32" s="17"/>
      <c r="I32" s="99"/>
      <c r="J32" s="98" t="s">
        <v>33</v>
      </c>
      <c r="K32" s="97"/>
    </row>
    <row r="33" spans="1:11" s="98" customFormat="1" ht="45" x14ac:dyDescent="0.25">
      <c r="A33" s="97" t="s">
        <v>125</v>
      </c>
      <c r="B33" s="18">
        <v>6722734</v>
      </c>
      <c r="C33" s="15" t="s">
        <v>377</v>
      </c>
      <c r="D33" s="17">
        <v>197.89</v>
      </c>
      <c r="E33" s="99">
        <v>913</v>
      </c>
      <c r="F33" s="17"/>
      <c r="G33" s="99"/>
      <c r="H33" s="17"/>
      <c r="I33" s="99"/>
      <c r="J33" s="98" t="s">
        <v>33</v>
      </c>
      <c r="K33" s="97"/>
    </row>
    <row r="34" spans="1:11" s="98" customFormat="1" ht="30" x14ac:dyDescent="0.25">
      <c r="A34" s="97" t="s">
        <v>126</v>
      </c>
      <c r="B34" s="62">
        <v>5037202</v>
      </c>
      <c r="C34" s="15" t="s">
        <v>377</v>
      </c>
      <c r="D34" s="17">
        <v>168.46</v>
      </c>
      <c r="E34" s="99">
        <v>1976</v>
      </c>
      <c r="F34" s="17"/>
      <c r="G34" s="99"/>
      <c r="H34" s="17"/>
      <c r="I34" s="99"/>
      <c r="J34" s="98" t="s">
        <v>33</v>
      </c>
      <c r="K34" s="97"/>
    </row>
    <row r="35" spans="1:11" s="98" customFormat="1" ht="30" x14ac:dyDescent="0.25">
      <c r="A35" s="97" t="s">
        <v>128</v>
      </c>
      <c r="B35" s="18">
        <v>5037326</v>
      </c>
      <c r="C35" s="15" t="s">
        <v>379</v>
      </c>
      <c r="D35" s="17">
        <v>46.36</v>
      </c>
      <c r="E35" s="99">
        <v>411</v>
      </c>
      <c r="F35" s="17"/>
      <c r="G35" s="99"/>
      <c r="H35" s="17"/>
      <c r="I35" s="99"/>
      <c r="J35" s="98" t="s">
        <v>33</v>
      </c>
      <c r="K35" s="97"/>
    </row>
    <row r="36" spans="1:11" s="98" customFormat="1" x14ac:dyDescent="0.25">
      <c r="A36" s="97" t="s">
        <v>37</v>
      </c>
      <c r="B36" s="18">
        <v>5064854</v>
      </c>
      <c r="C36" s="15" t="s">
        <v>377</v>
      </c>
      <c r="D36" s="17">
        <v>643.51</v>
      </c>
      <c r="E36" s="99">
        <v>7080</v>
      </c>
      <c r="F36" s="17"/>
      <c r="G36" s="99"/>
      <c r="H36" s="17"/>
      <c r="I36" s="99"/>
      <c r="J36" s="98" t="s">
        <v>33</v>
      </c>
      <c r="K36" s="97"/>
    </row>
    <row r="37" spans="1:11" s="98" customFormat="1" ht="30" x14ac:dyDescent="0.25">
      <c r="A37" s="97" t="s">
        <v>32</v>
      </c>
      <c r="B37" s="18">
        <v>5021826</v>
      </c>
      <c r="C37" s="15" t="s">
        <v>377</v>
      </c>
      <c r="D37" s="17">
        <v>57.54</v>
      </c>
      <c r="E37" s="99">
        <v>540</v>
      </c>
      <c r="F37" s="17"/>
      <c r="G37" s="99"/>
      <c r="H37" s="17"/>
      <c r="I37" s="99"/>
      <c r="J37" s="98" t="s">
        <v>33</v>
      </c>
      <c r="K37" s="97"/>
    </row>
    <row r="38" spans="1:11" s="98" customFormat="1" ht="45" x14ac:dyDescent="0.25">
      <c r="A38" s="97" t="s">
        <v>129</v>
      </c>
      <c r="B38" s="18">
        <v>4964784</v>
      </c>
      <c r="C38" s="15" t="s">
        <v>377</v>
      </c>
      <c r="D38" s="17">
        <v>22.58</v>
      </c>
      <c r="E38" s="99">
        <v>150</v>
      </c>
      <c r="F38" s="17"/>
      <c r="G38" s="99"/>
      <c r="H38" s="17"/>
      <c r="I38" s="99"/>
      <c r="J38" s="98" t="s">
        <v>33</v>
      </c>
      <c r="K38" s="97"/>
    </row>
    <row r="39" spans="1:11" s="98" customFormat="1" ht="30" x14ac:dyDescent="0.25">
      <c r="A39" s="97" t="s">
        <v>254</v>
      </c>
      <c r="B39" s="18">
        <v>4955887</v>
      </c>
      <c r="C39" s="15" t="s">
        <v>370</v>
      </c>
      <c r="D39" s="17">
        <v>25.66</v>
      </c>
      <c r="E39" s="99">
        <v>140</v>
      </c>
      <c r="F39" s="17"/>
      <c r="G39" s="99"/>
      <c r="H39" s="17"/>
      <c r="I39" s="99"/>
      <c r="J39" s="98" t="s">
        <v>33</v>
      </c>
      <c r="K39" s="97"/>
    </row>
    <row r="40" spans="1:11" s="98" customFormat="1" ht="30" x14ac:dyDescent="0.25">
      <c r="A40" s="97" t="s">
        <v>64</v>
      </c>
      <c r="B40" s="18">
        <v>4932391</v>
      </c>
      <c r="C40" s="15" t="s">
        <v>370</v>
      </c>
      <c r="D40" s="17">
        <v>279.85000000000002</v>
      </c>
      <c r="E40" s="99">
        <v>2530</v>
      </c>
      <c r="F40" s="17"/>
      <c r="G40" s="99"/>
      <c r="H40" s="17"/>
      <c r="I40" s="99"/>
      <c r="J40" s="98" t="s">
        <v>33</v>
      </c>
      <c r="K40" s="97"/>
    </row>
    <row r="41" spans="1:11" s="98" customFormat="1" ht="30" x14ac:dyDescent="0.25">
      <c r="A41" s="97" t="s">
        <v>28</v>
      </c>
      <c r="B41" s="18">
        <v>5265050</v>
      </c>
      <c r="C41" s="15" t="s">
        <v>378</v>
      </c>
      <c r="D41" s="17">
        <v>22.58</v>
      </c>
      <c r="E41" s="99">
        <v>150</v>
      </c>
      <c r="F41" s="17"/>
      <c r="G41" s="99"/>
      <c r="H41" s="17"/>
      <c r="I41" s="99"/>
      <c r="J41" s="98" t="s">
        <v>33</v>
      </c>
      <c r="K41" s="97"/>
    </row>
    <row r="42" spans="1:11" s="98" customFormat="1" ht="30" x14ac:dyDescent="0.25">
      <c r="A42" s="97" t="s">
        <v>29</v>
      </c>
      <c r="B42" s="18">
        <v>5265019</v>
      </c>
      <c r="C42" s="15" t="s">
        <v>379</v>
      </c>
      <c r="D42" s="17">
        <v>16.05</v>
      </c>
      <c r="E42" s="99">
        <v>70</v>
      </c>
      <c r="F42" s="17"/>
      <c r="G42" s="99"/>
      <c r="H42" s="17"/>
      <c r="I42" s="99"/>
      <c r="J42" s="98" t="s">
        <v>33</v>
      </c>
      <c r="K42" s="97"/>
    </row>
    <row r="43" spans="1:11" s="98" customFormat="1" ht="30" x14ac:dyDescent="0.25">
      <c r="A43" s="97" t="s">
        <v>243</v>
      </c>
      <c r="B43" s="18">
        <v>4426005</v>
      </c>
      <c r="C43" s="15" t="s">
        <v>379</v>
      </c>
      <c r="D43" s="17">
        <v>1234.08</v>
      </c>
      <c r="E43" s="99">
        <v>10950</v>
      </c>
      <c r="F43" s="17"/>
      <c r="G43" s="99"/>
      <c r="H43" s="17"/>
      <c r="I43" s="99"/>
      <c r="J43" s="98" t="s">
        <v>33</v>
      </c>
      <c r="K43" s="97"/>
    </row>
    <row r="44" spans="1:11" s="98" customFormat="1" ht="30" x14ac:dyDescent="0.25">
      <c r="A44" s="16" t="s">
        <v>22</v>
      </c>
      <c r="B44" s="18">
        <v>5264554</v>
      </c>
      <c r="C44" s="15" t="s">
        <v>368</v>
      </c>
      <c r="D44" s="17">
        <v>80.36</v>
      </c>
      <c r="E44" s="99">
        <v>824</v>
      </c>
      <c r="F44" s="17"/>
      <c r="G44" s="99"/>
      <c r="H44" s="17"/>
      <c r="I44" s="99"/>
      <c r="J44" s="98" t="s">
        <v>33</v>
      </c>
      <c r="K44" s="97"/>
    </row>
    <row r="45" spans="1:11" s="98" customFormat="1" ht="30" x14ac:dyDescent="0.25">
      <c r="A45" s="97" t="s">
        <v>241</v>
      </c>
      <c r="B45" s="18">
        <v>4912148</v>
      </c>
      <c r="C45" s="15" t="s">
        <v>379</v>
      </c>
      <c r="D45" s="17">
        <v>299.66000000000003</v>
      </c>
      <c r="E45" s="99">
        <v>1260</v>
      </c>
      <c r="F45" s="17"/>
      <c r="G45" s="99"/>
      <c r="H45" s="17"/>
      <c r="I45" s="99"/>
      <c r="J45" s="98" t="s">
        <v>33</v>
      </c>
      <c r="K45" s="97"/>
    </row>
    <row r="46" spans="1:11" s="98" customFormat="1" ht="30" x14ac:dyDescent="0.25">
      <c r="A46" s="97" t="s">
        <v>242</v>
      </c>
      <c r="B46" s="18">
        <v>4426036</v>
      </c>
      <c r="C46" s="15" t="s">
        <v>379</v>
      </c>
      <c r="D46" s="17">
        <v>363.68</v>
      </c>
      <c r="E46" s="99">
        <v>2100</v>
      </c>
      <c r="F46" s="17"/>
      <c r="G46" s="99"/>
      <c r="H46" s="17"/>
      <c r="I46" s="99"/>
      <c r="J46" s="98" t="s">
        <v>33</v>
      </c>
      <c r="K46" s="97"/>
    </row>
    <row r="47" spans="1:11" s="98" customFormat="1" x14ac:dyDescent="0.25">
      <c r="A47" s="97" t="s">
        <v>34</v>
      </c>
      <c r="B47" s="18">
        <v>5028615</v>
      </c>
      <c r="C47" s="15" t="s">
        <v>379</v>
      </c>
      <c r="D47" s="17">
        <v>983.14</v>
      </c>
      <c r="E47" s="99">
        <v>9360</v>
      </c>
      <c r="F47" s="17"/>
      <c r="G47" s="99"/>
      <c r="H47" s="17"/>
      <c r="I47" s="99"/>
      <c r="J47" s="98" t="s">
        <v>33</v>
      </c>
      <c r="K47" s="97"/>
    </row>
    <row r="48" spans="1:11" s="98" customFormat="1" ht="30" x14ac:dyDescent="0.25">
      <c r="A48" s="97" t="s">
        <v>47</v>
      </c>
      <c r="B48" s="18">
        <v>4914628</v>
      </c>
      <c r="C48" s="61" t="s">
        <v>381</v>
      </c>
      <c r="D48" s="17">
        <v>686.84</v>
      </c>
      <c r="E48" s="99">
        <v>6947</v>
      </c>
      <c r="F48" s="17"/>
      <c r="G48" s="99"/>
      <c r="H48" s="17"/>
      <c r="I48" s="99"/>
      <c r="J48" s="98" t="s">
        <v>33</v>
      </c>
      <c r="K48" s="97"/>
    </row>
    <row r="49" spans="1:11" s="98" customFormat="1" ht="30" x14ac:dyDescent="0.25">
      <c r="A49" s="97" t="s">
        <v>46</v>
      </c>
      <c r="B49" s="18">
        <v>5027654</v>
      </c>
      <c r="C49" s="15" t="s">
        <v>379</v>
      </c>
      <c r="D49" s="17">
        <v>266.55</v>
      </c>
      <c r="E49" s="99">
        <v>2824</v>
      </c>
      <c r="F49" s="17"/>
      <c r="G49" s="99"/>
      <c r="H49" s="17"/>
      <c r="I49" s="99"/>
      <c r="J49" s="98" t="s">
        <v>33</v>
      </c>
      <c r="K49" s="97"/>
    </row>
    <row r="50" spans="1:11" s="98" customFormat="1" ht="30" x14ac:dyDescent="0.25">
      <c r="A50" s="97" t="s">
        <v>48</v>
      </c>
      <c r="B50" s="18">
        <v>5262911</v>
      </c>
      <c r="C50" s="15" t="s">
        <v>369</v>
      </c>
      <c r="D50" s="17">
        <v>16.05</v>
      </c>
      <c r="E50" s="99">
        <v>70</v>
      </c>
      <c r="F50" s="17"/>
      <c r="G50" s="99"/>
      <c r="H50" s="17"/>
      <c r="I50" s="99"/>
      <c r="J50" s="98" t="s">
        <v>33</v>
      </c>
      <c r="K50" s="97"/>
    </row>
    <row r="51" spans="1:11" s="98" customFormat="1" ht="30" x14ac:dyDescent="0.25">
      <c r="A51" s="97" t="s">
        <v>244</v>
      </c>
      <c r="B51" s="18">
        <v>8184322</v>
      </c>
      <c r="C51" s="15" t="s">
        <v>380</v>
      </c>
      <c r="D51" s="17">
        <v>582.28</v>
      </c>
      <c r="E51" s="99">
        <v>3360</v>
      </c>
      <c r="F51" s="17"/>
      <c r="G51" s="99"/>
      <c r="H51" s="17"/>
      <c r="I51" s="99"/>
      <c r="J51" s="98" t="s">
        <v>33</v>
      </c>
      <c r="K51" s="97"/>
    </row>
    <row r="52" spans="1:11" s="98" customFormat="1" ht="30" x14ac:dyDescent="0.25">
      <c r="A52" s="97" t="s">
        <v>38</v>
      </c>
      <c r="B52" s="18">
        <v>5231911</v>
      </c>
      <c r="C52" s="15" t="s">
        <v>379</v>
      </c>
      <c r="D52" s="17">
        <v>22.58</v>
      </c>
      <c r="E52" s="99">
        <v>150</v>
      </c>
      <c r="F52" s="17"/>
      <c r="G52" s="99"/>
      <c r="H52" s="17"/>
      <c r="I52" s="99"/>
      <c r="J52" s="98" t="s">
        <v>33</v>
      </c>
      <c r="K52" s="97"/>
    </row>
    <row r="53" spans="1:11" s="98" customFormat="1" ht="30" x14ac:dyDescent="0.25">
      <c r="A53" s="97" t="s">
        <v>17</v>
      </c>
      <c r="B53" s="18">
        <v>8934894</v>
      </c>
      <c r="C53" s="15" t="s">
        <v>379</v>
      </c>
      <c r="D53" s="17">
        <v>20.100000000000001</v>
      </c>
      <c r="E53" s="99">
        <v>68</v>
      </c>
      <c r="F53" s="17"/>
      <c r="G53" s="99"/>
      <c r="H53" s="17"/>
      <c r="I53" s="99"/>
      <c r="J53" s="98" t="s">
        <v>33</v>
      </c>
      <c r="K53" s="97"/>
    </row>
    <row r="54" spans="1:11" s="98" customFormat="1" ht="30" x14ac:dyDescent="0.25">
      <c r="A54" s="97" t="s">
        <v>240</v>
      </c>
      <c r="B54" s="18">
        <v>5031405</v>
      </c>
      <c r="C54" s="15" t="s">
        <v>379</v>
      </c>
      <c r="D54" s="17">
        <v>1474.57</v>
      </c>
      <c r="E54" s="99">
        <v>16020</v>
      </c>
      <c r="F54" s="17"/>
      <c r="G54" s="99"/>
      <c r="H54" s="17"/>
      <c r="I54" s="99"/>
      <c r="J54" s="98" t="s">
        <v>33</v>
      </c>
      <c r="K54" s="97"/>
    </row>
    <row r="55" spans="1:11" s="98" customFormat="1" ht="30" x14ac:dyDescent="0.25">
      <c r="A55" s="97" t="s">
        <v>26</v>
      </c>
      <c r="B55" s="18">
        <v>149091</v>
      </c>
      <c r="C55" s="15" t="s">
        <v>379</v>
      </c>
      <c r="D55" s="17">
        <v>18.79</v>
      </c>
      <c r="E55" s="99">
        <v>80</v>
      </c>
      <c r="F55" s="17"/>
      <c r="G55" s="99"/>
      <c r="H55" s="17"/>
      <c r="I55" s="99"/>
      <c r="J55" s="98" t="s">
        <v>33</v>
      </c>
      <c r="K55" s="97"/>
    </row>
    <row r="56" spans="1:11" s="98" customFormat="1" ht="30" x14ac:dyDescent="0.25">
      <c r="A56" s="97" t="s">
        <v>30</v>
      </c>
      <c r="B56" s="18">
        <v>4914473</v>
      </c>
      <c r="C56" s="15" t="s">
        <v>379</v>
      </c>
      <c r="D56" s="17">
        <v>1170.44</v>
      </c>
      <c r="E56" s="99">
        <v>17100</v>
      </c>
      <c r="F56" s="17"/>
      <c r="G56" s="99"/>
      <c r="H56" s="17"/>
      <c r="I56" s="99"/>
      <c r="J56" s="98" t="s">
        <v>33</v>
      </c>
      <c r="K56" s="97"/>
    </row>
    <row r="57" spans="1:11" s="98" customFormat="1" ht="30" x14ac:dyDescent="0.25">
      <c r="A57" s="97" t="s">
        <v>244</v>
      </c>
      <c r="B57" s="18">
        <v>117936</v>
      </c>
      <c r="C57" s="15" t="s">
        <v>379</v>
      </c>
      <c r="D57" s="17">
        <v>135.25</v>
      </c>
      <c r="E57" s="99">
        <v>440</v>
      </c>
      <c r="F57" s="17"/>
      <c r="G57" s="99"/>
      <c r="H57" s="17"/>
      <c r="I57" s="99"/>
      <c r="J57" s="98" t="s">
        <v>33</v>
      </c>
      <c r="K57" s="97"/>
    </row>
    <row r="58" spans="1:11" s="98" customFormat="1" ht="60" x14ac:dyDescent="0.25">
      <c r="A58" s="97" t="s">
        <v>153</v>
      </c>
      <c r="B58" s="18">
        <v>8327232</v>
      </c>
      <c r="C58" s="15" t="s">
        <v>370</v>
      </c>
      <c r="D58" s="17">
        <v>38.74</v>
      </c>
      <c r="E58" s="99">
        <v>0</v>
      </c>
      <c r="F58" s="17"/>
      <c r="G58" s="99"/>
      <c r="H58" s="17"/>
      <c r="I58" s="99"/>
      <c r="J58" s="98" t="s">
        <v>33</v>
      </c>
      <c r="K58" s="97"/>
    </row>
    <row r="59" spans="1:11" s="98" customFormat="1" ht="30" x14ac:dyDescent="0.25">
      <c r="A59" s="97" t="s">
        <v>255</v>
      </c>
      <c r="B59" s="18">
        <v>6973803</v>
      </c>
      <c r="C59" s="15" t="s">
        <v>370</v>
      </c>
      <c r="D59" s="17">
        <v>14.68</v>
      </c>
      <c r="E59" s="99">
        <v>1</v>
      </c>
      <c r="F59" s="17"/>
      <c r="G59" s="99"/>
      <c r="H59" s="17"/>
      <c r="I59" s="99"/>
      <c r="J59" s="98" t="s">
        <v>33</v>
      </c>
      <c r="K59" s="97"/>
    </row>
    <row r="60" spans="1:11" s="98" customFormat="1" ht="30" x14ac:dyDescent="0.25">
      <c r="A60" s="97" t="s">
        <v>150</v>
      </c>
      <c r="B60" s="18">
        <v>7480591</v>
      </c>
      <c r="C60" s="15" t="s">
        <v>370</v>
      </c>
      <c r="D60" s="17">
        <v>1026.1300000000001</v>
      </c>
      <c r="E60" s="99">
        <v>13606</v>
      </c>
      <c r="F60" s="17"/>
      <c r="G60" s="99"/>
      <c r="H60" s="17"/>
      <c r="I60" s="99"/>
      <c r="J60" s="98" t="s">
        <v>33</v>
      </c>
      <c r="K60" s="97"/>
    </row>
    <row r="61" spans="1:11" s="98" customFormat="1" ht="30" x14ac:dyDescent="0.25">
      <c r="A61" s="97" t="s">
        <v>253</v>
      </c>
      <c r="B61" s="18">
        <v>4934809</v>
      </c>
      <c r="C61" s="15" t="s">
        <v>370</v>
      </c>
      <c r="D61" s="17">
        <v>38.86</v>
      </c>
      <c r="E61" s="99">
        <v>300</v>
      </c>
      <c r="F61" s="17"/>
      <c r="G61" s="99"/>
      <c r="H61" s="17"/>
      <c r="I61" s="99"/>
      <c r="J61" s="98" t="s">
        <v>33</v>
      </c>
      <c r="K61" s="97"/>
    </row>
    <row r="62" spans="1:11" s="98" customFormat="1" ht="30" x14ac:dyDescent="0.25">
      <c r="A62" s="97" t="s">
        <v>152</v>
      </c>
      <c r="B62" s="18">
        <v>9498071</v>
      </c>
      <c r="C62" s="15" t="s">
        <v>370</v>
      </c>
      <c r="D62" s="17">
        <v>325.05</v>
      </c>
      <c r="E62" s="99">
        <v>1360</v>
      </c>
      <c r="F62" s="17"/>
      <c r="G62" s="99"/>
      <c r="H62" s="17"/>
      <c r="I62" s="99"/>
      <c r="J62" s="98" t="s">
        <v>33</v>
      </c>
      <c r="K62" s="97"/>
    </row>
    <row r="63" spans="1:11" s="98" customFormat="1" ht="30" x14ac:dyDescent="0.25">
      <c r="A63" s="97" t="s">
        <v>245</v>
      </c>
      <c r="B63" s="18">
        <v>4962800</v>
      </c>
      <c r="C63" s="15" t="s">
        <v>370</v>
      </c>
      <c r="D63" s="17">
        <v>27.23</v>
      </c>
      <c r="E63" s="99">
        <v>160</v>
      </c>
      <c r="F63" s="17"/>
      <c r="G63" s="99"/>
      <c r="H63" s="17"/>
      <c r="I63" s="99"/>
      <c r="J63" s="98" t="s">
        <v>33</v>
      </c>
      <c r="K63" s="97"/>
    </row>
    <row r="64" spans="1:11" s="98" customFormat="1" ht="30" x14ac:dyDescent="0.25">
      <c r="A64" s="97" t="s">
        <v>151</v>
      </c>
      <c r="B64" s="18">
        <v>710315</v>
      </c>
      <c r="C64" s="15" t="s">
        <v>370</v>
      </c>
      <c r="D64" s="17">
        <v>14.6</v>
      </c>
      <c r="E64" s="99">
        <v>0</v>
      </c>
      <c r="F64" s="17"/>
      <c r="G64" s="99"/>
      <c r="H64" s="17"/>
      <c r="I64" s="99"/>
      <c r="J64" s="98" t="s">
        <v>33</v>
      </c>
      <c r="K64" s="97"/>
    </row>
    <row r="65" spans="1:11" s="98" customFormat="1" ht="30" x14ac:dyDescent="0.25">
      <c r="A65" s="97" t="s">
        <v>24</v>
      </c>
      <c r="B65" s="18">
        <v>4892432</v>
      </c>
      <c r="C65" s="15" t="s">
        <v>370</v>
      </c>
      <c r="D65" s="17">
        <v>115.47</v>
      </c>
      <c r="E65" s="99">
        <v>227</v>
      </c>
      <c r="F65" s="17"/>
      <c r="G65" s="99"/>
      <c r="H65" s="17"/>
      <c r="I65" s="99"/>
      <c r="J65" s="98" t="s">
        <v>33</v>
      </c>
      <c r="K65" s="97"/>
    </row>
    <row r="66" spans="1:11" s="98" customFormat="1" ht="30" x14ac:dyDescent="0.25">
      <c r="A66" s="97" t="s">
        <v>21</v>
      </c>
      <c r="B66" s="18">
        <v>4968878</v>
      </c>
      <c r="C66" s="15" t="s">
        <v>370</v>
      </c>
      <c r="D66" s="17">
        <v>80.36</v>
      </c>
      <c r="E66" s="99">
        <v>824</v>
      </c>
      <c r="F66" s="17"/>
      <c r="G66" s="99"/>
      <c r="H66" s="17"/>
      <c r="I66" s="99"/>
      <c r="J66" s="98" t="s">
        <v>33</v>
      </c>
      <c r="K66" s="97"/>
    </row>
    <row r="67" spans="1:11" s="98" customFormat="1" ht="30" x14ac:dyDescent="0.25">
      <c r="A67" s="97" t="s">
        <v>31</v>
      </c>
      <c r="B67" s="18">
        <v>5041139</v>
      </c>
      <c r="C67" s="15" t="s">
        <v>370</v>
      </c>
      <c r="D67" s="17">
        <v>103</v>
      </c>
      <c r="E67" s="99">
        <v>1108</v>
      </c>
      <c r="F67" s="17"/>
      <c r="G67" s="99"/>
      <c r="H67" s="17"/>
      <c r="I67" s="99"/>
      <c r="J67" s="98" t="s">
        <v>33</v>
      </c>
      <c r="K67" s="97"/>
    </row>
    <row r="68" spans="1:11" s="98" customFormat="1" ht="30" x14ac:dyDescent="0.25">
      <c r="A68" s="97" t="s">
        <v>256</v>
      </c>
      <c r="B68" s="18">
        <v>5276024</v>
      </c>
      <c r="C68" s="15" t="s">
        <v>370</v>
      </c>
      <c r="D68" s="17">
        <v>22.58</v>
      </c>
      <c r="E68" s="99">
        <v>150</v>
      </c>
      <c r="F68" s="17"/>
      <c r="G68" s="99"/>
      <c r="H68" s="17"/>
      <c r="I68" s="99"/>
      <c r="J68" s="98" t="s">
        <v>33</v>
      </c>
      <c r="K68" s="97"/>
    </row>
    <row r="69" spans="1:11" s="98" customFormat="1" x14ac:dyDescent="0.25">
      <c r="A69" s="97" t="s">
        <v>250</v>
      </c>
      <c r="B69" s="63">
        <v>7391</v>
      </c>
      <c r="C69" s="15" t="s">
        <v>370</v>
      </c>
      <c r="D69" s="17">
        <v>20.49</v>
      </c>
      <c r="E69" s="99">
        <v>74</v>
      </c>
      <c r="F69" s="17"/>
      <c r="G69" s="99"/>
      <c r="H69" s="17"/>
      <c r="I69" s="99"/>
      <c r="J69" s="98" t="s">
        <v>33</v>
      </c>
      <c r="K69" s="97"/>
    </row>
    <row r="70" spans="1:11" s="98" customFormat="1" x14ac:dyDescent="0.25">
      <c r="A70" s="97" t="s">
        <v>250</v>
      </c>
      <c r="B70" s="63">
        <v>7422</v>
      </c>
      <c r="C70" s="15" t="s">
        <v>370</v>
      </c>
      <c r="D70" s="17">
        <v>33.24</v>
      </c>
      <c r="E70" s="99">
        <v>234</v>
      </c>
      <c r="F70" s="17"/>
      <c r="G70" s="99"/>
      <c r="H70" s="17"/>
      <c r="I70" s="99"/>
      <c r="J70" s="98" t="s">
        <v>33</v>
      </c>
      <c r="K70" s="97"/>
    </row>
    <row r="71" spans="1:11" ht="45" x14ac:dyDescent="0.25">
      <c r="A71" s="20" t="s">
        <v>49</v>
      </c>
      <c r="B71" s="21"/>
      <c r="D71" s="7"/>
      <c r="F71" s="7"/>
      <c r="H71" s="7"/>
      <c r="K71" s="91"/>
    </row>
    <row r="72" spans="1:11" s="95" customFormat="1" ht="60" x14ac:dyDescent="0.25">
      <c r="A72" s="94" t="s">
        <v>51</v>
      </c>
      <c r="B72" s="66" t="s">
        <v>208</v>
      </c>
      <c r="C72" s="100" t="s">
        <v>362</v>
      </c>
      <c r="D72" s="68">
        <v>372</v>
      </c>
      <c r="E72" s="96">
        <v>3822</v>
      </c>
      <c r="F72" s="68"/>
      <c r="G72" s="96"/>
      <c r="H72" s="68"/>
      <c r="I72" s="96"/>
      <c r="J72" s="95" t="s">
        <v>33</v>
      </c>
      <c r="K72" s="94"/>
    </row>
    <row r="73" spans="1:11" s="95" customFormat="1" ht="60" x14ac:dyDescent="0.25">
      <c r="A73" s="94" t="s">
        <v>52</v>
      </c>
      <c r="B73" s="66" t="s">
        <v>209</v>
      </c>
      <c r="C73" s="100" t="s">
        <v>362</v>
      </c>
      <c r="D73" s="68">
        <v>160</v>
      </c>
      <c r="E73" s="96">
        <v>1402</v>
      </c>
      <c r="F73" s="68"/>
      <c r="G73" s="96"/>
      <c r="H73" s="68"/>
      <c r="I73" s="96"/>
      <c r="J73" s="95" t="s">
        <v>33</v>
      </c>
      <c r="K73" s="94"/>
    </row>
    <row r="74" spans="1:11" s="95" customFormat="1" ht="75" x14ac:dyDescent="0.25">
      <c r="A74" s="94" t="s">
        <v>54</v>
      </c>
      <c r="B74" s="66" t="s">
        <v>210</v>
      </c>
      <c r="C74" s="100" t="s">
        <v>362</v>
      </c>
      <c r="D74" s="68">
        <v>63</v>
      </c>
      <c r="E74" s="96">
        <v>350</v>
      </c>
      <c r="F74" s="68"/>
      <c r="G74" s="96"/>
      <c r="H74" s="68"/>
      <c r="I74" s="96"/>
      <c r="J74" s="95" t="s">
        <v>33</v>
      </c>
      <c r="K74" s="94"/>
    </row>
    <row r="75" spans="1:11" s="95" customFormat="1" ht="45" x14ac:dyDescent="0.25">
      <c r="A75" s="94" t="s">
        <v>55</v>
      </c>
      <c r="B75" s="66" t="s">
        <v>212</v>
      </c>
      <c r="C75" s="100" t="s">
        <v>362</v>
      </c>
      <c r="D75" s="68">
        <v>29</v>
      </c>
      <c r="E75" s="96">
        <v>109</v>
      </c>
      <c r="F75" s="68"/>
      <c r="G75" s="96"/>
      <c r="H75" s="68"/>
      <c r="I75" s="96"/>
      <c r="J75" s="95" t="s">
        <v>33</v>
      </c>
      <c r="K75" s="94"/>
    </row>
    <row r="76" spans="1:11" s="95" customFormat="1" ht="45" x14ac:dyDescent="0.25">
      <c r="A76" s="94" t="s">
        <v>56</v>
      </c>
      <c r="B76" s="66" t="s">
        <v>213</v>
      </c>
      <c r="C76" s="100" t="s">
        <v>362</v>
      </c>
      <c r="D76" s="68">
        <v>25</v>
      </c>
      <c r="E76" s="96">
        <v>69</v>
      </c>
      <c r="F76" s="68"/>
      <c r="G76" s="96"/>
      <c r="H76" s="68"/>
      <c r="I76" s="96"/>
      <c r="J76" s="95" t="s">
        <v>33</v>
      </c>
      <c r="K76" s="94"/>
    </row>
    <row r="77" spans="1:11" s="95" customFormat="1" ht="45" x14ac:dyDescent="0.25">
      <c r="A77" s="94" t="s">
        <v>57</v>
      </c>
      <c r="B77" s="66" t="s">
        <v>214</v>
      </c>
      <c r="C77" s="100" t="s">
        <v>362</v>
      </c>
      <c r="D77" s="68">
        <v>250</v>
      </c>
      <c r="E77" s="96">
        <v>2377</v>
      </c>
      <c r="F77" s="68"/>
      <c r="G77" s="96"/>
      <c r="H77" s="68"/>
      <c r="I77" s="96"/>
      <c r="J77" s="95" t="s">
        <v>33</v>
      </c>
      <c r="K77" s="94"/>
    </row>
    <row r="78" spans="1:11" s="95" customFormat="1" ht="45" x14ac:dyDescent="0.25">
      <c r="A78" s="94" t="s">
        <v>58</v>
      </c>
      <c r="B78" s="66" t="s">
        <v>215</v>
      </c>
      <c r="C78" s="100" t="s">
        <v>362</v>
      </c>
      <c r="D78" s="68">
        <v>132</v>
      </c>
      <c r="E78" s="96">
        <v>1221</v>
      </c>
      <c r="F78" s="68"/>
      <c r="G78" s="96"/>
      <c r="H78" s="68"/>
      <c r="I78" s="96"/>
      <c r="J78" s="95" t="s">
        <v>33</v>
      </c>
      <c r="K78" s="94"/>
    </row>
    <row r="79" spans="1:11" s="95" customFormat="1" ht="45" x14ac:dyDescent="0.25">
      <c r="A79" s="94" t="s">
        <v>59</v>
      </c>
      <c r="B79" s="66" t="s">
        <v>216</v>
      </c>
      <c r="C79" s="100" t="s">
        <v>362</v>
      </c>
      <c r="D79" s="68">
        <v>45</v>
      </c>
      <c r="E79" s="96">
        <v>285</v>
      </c>
      <c r="F79" s="68"/>
      <c r="G79" s="96"/>
      <c r="H79" s="68"/>
      <c r="I79" s="96"/>
      <c r="J79" s="95" t="s">
        <v>33</v>
      </c>
      <c r="K79" s="94"/>
    </row>
    <row r="80" spans="1:11" s="95" customFormat="1" ht="45" x14ac:dyDescent="0.25">
      <c r="A80" s="94" t="s">
        <v>60</v>
      </c>
      <c r="B80" s="66" t="s">
        <v>217</v>
      </c>
      <c r="C80" s="100" t="s">
        <v>362</v>
      </c>
      <c r="D80" s="68">
        <v>39</v>
      </c>
      <c r="E80" s="96">
        <v>89</v>
      </c>
      <c r="F80" s="68"/>
      <c r="G80" s="96"/>
      <c r="H80" s="68"/>
      <c r="I80" s="96"/>
      <c r="J80" s="95" t="s">
        <v>33</v>
      </c>
      <c r="K80" s="94"/>
    </row>
    <row r="81" spans="1:11" s="95" customFormat="1" ht="30" x14ac:dyDescent="0.25">
      <c r="A81" s="94" t="s">
        <v>61</v>
      </c>
      <c r="B81" s="66" t="s">
        <v>218</v>
      </c>
      <c r="C81" s="100" t="s">
        <v>362</v>
      </c>
      <c r="D81" s="68">
        <v>19</v>
      </c>
      <c r="E81" s="96">
        <v>2</v>
      </c>
      <c r="F81" s="68"/>
      <c r="G81" s="96"/>
      <c r="H81" s="68"/>
      <c r="I81" s="96"/>
      <c r="J81" s="95" t="s">
        <v>33</v>
      </c>
      <c r="K81" s="94"/>
    </row>
    <row r="82" spans="1:11" s="95" customFormat="1" ht="45" x14ac:dyDescent="0.25">
      <c r="A82" s="94" t="s">
        <v>62</v>
      </c>
      <c r="B82" s="66" t="s">
        <v>219</v>
      </c>
      <c r="C82" s="100" t="s">
        <v>362</v>
      </c>
      <c r="D82" s="68">
        <v>25</v>
      </c>
      <c r="E82" s="96">
        <v>67</v>
      </c>
      <c r="F82" s="68"/>
      <c r="G82" s="96"/>
      <c r="H82" s="68"/>
      <c r="I82" s="96"/>
      <c r="J82" s="95" t="s">
        <v>33</v>
      </c>
      <c r="K82" s="94"/>
    </row>
    <row r="83" spans="1:11" s="95" customFormat="1" ht="30" x14ac:dyDescent="0.25">
      <c r="A83" s="94" t="s">
        <v>94</v>
      </c>
      <c r="B83" s="66" t="s">
        <v>201</v>
      </c>
      <c r="C83" s="95" t="s">
        <v>362</v>
      </c>
      <c r="D83" s="68">
        <v>112</v>
      </c>
      <c r="E83" s="96">
        <v>806</v>
      </c>
      <c r="F83" s="68"/>
      <c r="G83" s="96"/>
      <c r="H83" s="68"/>
      <c r="I83" s="96"/>
      <c r="J83" s="95" t="s">
        <v>33</v>
      </c>
      <c r="K83" s="94"/>
    </row>
    <row r="84" spans="1:11" s="95" customFormat="1" ht="30" x14ac:dyDescent="0.25">
      <c r="A84" s="94" t="s">
        <v>95</v>
      </c>
      <c r="B84" s="66" t="s">
        <v>202</v>
      </c>
      <c r="C84" s="95" t="s">
        <v>362</v>
      </c>
      <c r="D84" s="68">
        <v>1492</v>
      </c>
      <c r="E84" s="96">
        <v>14880</v>
      </c>
      <c r="F84" s="68"/>
      <c r="G84" s="96"/>
      <c r="H84" s="68"/>
      <c r="I84" s="96"/>
      <c r="J84" s="95" t="s">
        <v>33</v>
      </c>
      <c r="K84" s="94"/>
    </row>
    <row r="85" spans="1:11" s="95" customFormat="1" ht="30" x14ac:dyDescent="0.25">
      <c r="A85" s="94" t="s">
        <v>96</v>
      </c>
      <c r="B85" s="66" t="s">
        <v>203</v>
      </c>
      <c r="C85" s="95" t="s">
        <v>362</v>
      </c>
      <c r="D85" s="68">
        <v>164</v>
      </c>
      <c r="E85" s="96">
        <v>1472</v>
      </c>
      <c r="F85" s="68"/>
      <c r="G85" s="96"/>
      <c r="H85" s="68"/>
      <c r="I85" s="96"/>
      <c r="J85" s="95" t="s">
        <v>33</v>
      </c>
      <c r="K85" s="94"/>
    </row>
    <row r="86" spans="1:11" s="95" customFormat="1" ht="45" x14ac:dyDescent="0.25">
      <c r="A86" s="94" t="s">
        <v>97</v>
      </c>
      <c r="B86" s="66" t="s">
        <v>204</v>
      </c>
      <c r="C86" s="95" t="s">
        <v>362</v>
      </c>
      <c r="D86" s="68">
        <v>37</v>
      </c>
      <c r="E86" s="96">
        <v>11</v>
      </c>
      <c r="F86" s="68"/>
      <c r="G86" s="96"/>
      <c r="H86" s="68"/>
      <c r="I86" s="96"/>
      <c r="J86" s="95" t="s">
        <v>33</v>
      </c>
      <c r="K86" s="94"/>
    </row>
    <row r="87" spans="1:11" s="95" customFormat="1" ht="30" x14ac:dyDescent="0.25">
      <c r="A87" s="94" t="s">
        <v>98</v>
      </c>
      <c r="B87" s="66" t="s">
        <v>205</v>
      </c>
      <c r="C87" s="95" t="s">
        <v>362</v>
      </c>
      <c r="D87" s="68">
        <v>19</v>
      </c>
      <c r="E87" s="96">
        <v>0</v>
      </c>
      <c r="F87" s="68"/>
      <c r="G87" s="96"/>
      <c r="H87" s="68"/>
      <c r="I87" s="96"/>
      <c r="J87" s="95" t="s">
        <v>33</v>
      </c>
      <c r="K87" s="94"/>
    </row>
    <row r="88" spans="1:11" s="95" customFormat="1" ht="30" x14ac:dyDescent="0.25">
      <c r="A88" s="94" t="s">
        <v>99</v>
      </c>
      <c r="B88" s="66" t="s">
        <v>206</v>
      </c>
      <c r="C88" s="95" t="s">
        <v>362</v>
      </c>
      <c r="D88" s="68">
        <v>29</v>
      </c>
      <c r="E88" s="96">
        <v>19</v>
      </c>
      <c r="F88" s="68"/>
      <c r="G88" s="96"/>
      <c r="H88" s="68"/>
      <c r="I88" s="96"/>
      <c r="J88" s="95" t="s">
        <v>33</v>
      </c>
      <c r="K88" s="94"/>
    </row>
    <row r="89" spans="1:11" s="98" customFormat="1" ht="30" x14ac:dyDescent="0.25">
      <c r="A89" s="97" t="s">
        <v>100</v>
      </c>
      <c r="B89" s="59">
        <v>1323346600</v>
      </c>
      <c r="C89" s="98" t="s">
        <v>362</v>
      </c>
      <c r="D89" s="17">
        <v>307</v>
      </c>
      <c r="E89" s="99">
        <v>2700</v>
      </c>
      <c r="F89" s="17"/>
      <c r="G89" s="99"/>
      <c r="H89" s="17"/>
      <c r="I89" s="99"/>
      <c r="J89" s="98" t="s">
        <v>33</v>
      </c>
      <c r="K89" s="97"/>
    </row>
    <row r="90" spans="1:11" s="98" customFormat="1" ht="30" x14ac:dyDescent="0.25">
      <c r="A90" s="97" t="s">
        <v>101</v>
      </c>
      <c r="B90" s="59">
        <v>1322699400</v>
      </c>
      <c r="C90" s="98" t="s">
        <v>362</v>
      </c>
      <c r="D90" s="17">
        <v>713</v>
      </c>
      <c r="E90" s="99">
        <v>2160</v>
      </c>
      <c r="F90" s="17"/>
      <c r="G90" s="99"/>
      <c r="H90" s="17"/>
      <c r="I90" s="99"/>
      <c r="J90" s="98" t="s">
        <v>33</v>
      </c>
      <c r="K90" s="97"/>
    </row>
    <row r="91" spans="1:11" s="95" customFormat="1" ht="30" x14ac:dyDescent="0.25">
      <c r="A91" s="94" t="s">
        <v>102</v>
      </c>
      <c r="B91" s="66" t="s">
        <v>200</v>
      </c>
      <c r="C91" s="95" t="s">
        <v>362</v>
      </c>
      <c r="D91" s="68">
        <v>430</v>
      </c>
      <c r="E91" s="96">
        <v>2516</v>
      </c>
      <c r="F91" s="68"/>
      <c r="G91" s="96"/>
      <c r="H91" s="68"/>
      <c r="I91" s="96"/>
      <c r="J91" s="95" t="s">
        <v>33</v>
      </c>
      <c r="K91" s="94"/>
    </row>
    <row r="92" spans="1:11" s="95" customFormat="1" ht="30" x14ac:dyDescent="0.25">
      <c r="A92" s="94" t="s">
        <v>110</v>
      </c>
      <c r="B92" s="66" t="s">
        <v>207</v>
      </c>
      <c r="C92" s="95" t="s">
        <v>362</v>
      </c>
      <c r="D92" s="68">
        <v>87</v>
      </c>
      <c r="E92" s="96">
        <v>251</v>
      </c>
      <c r="F92" s="68"/>
      <c r="G92" s="96"/>
      <c r="H92" s="68"/>
      <c r="I92" s="96"/>
      <c r="J92" s="95" t="s">
        <v>33</v>
      </c>
      <c r="K92" s="94"/>
    </row>
    <row r="93" spans="1:11" s="95" customFormat="1" ht="30" x14ac:dyDescent="0.25">
      <c r="A93" s="94" t="s">
        <v>111</v>
      </c>
      <c r="B93" s="66" t="s">
        <v>222</v>
      </c>
      <c r="C93" s="95" t="s">
        <v>362</v>
      </c>
      <c r="D93" s="68">
        <v>30</v>
      </c>
      <c r="E93" s="96">
        <v>0</v>
      </c>
      <c r="F93" s="68"/>
      <c r="G93" s="96"/>
      <c r="H93" s="68"/>
      <c r="I93" s="96"/>
      <c r="J93" s="95" t="s">
        <v>33</v>
      </c>
      <c r="K93" s="94"/>
    </row>
    <row r="94" spans="1:11" s="95" customFormat="1" ht="30" x14ac:dyDescent="0.25">
      <c r="A94" s="94" t="s">
        <v>117</v>
      </c>
      <c r="B94" s="66" t="s">
        <v>220</v>
      </c>
      <c r="C94" s="95" t="s">
        <v>362</v>
      </c>
      <c r="D94" s="68">
        <v>87</v>
      </c>
      <c r="E94" s="96">
        <v>568</v>
      </c>
      <c r="F94" s="68"/>
      <c r="G94" s="96"/>
      <c r="H94" s="68"/>
      <c r="I94" s="96"/>
      <c r="J94" s="95" t="s">
        <v>33</v>
      </c>
      <c r="K94" s="94"/>
    </row>
    <row r="95" spans="1:11" s="95" customFormat="1" ht="30" x14ac:dyDescent="0.25">
      <c r="A95" s="94" t="s">
        <v>118</v>
      </c>
      <c r="B95" s="66" t="s">
        <v>221</v>
      </c>
      <c r="C95" s="95" t="s">
        <v>362</v>
      </c>
      <c r="D95" s="68">
        <v>105</v>
      </c>
      <c r="E95" s="96">
        <v>933</v>
      </c>
      <c r="F95" s="68"/>
      <c r="G95" s="96"/>
      <c r="H95" s="68"/>
      <c r="I95" s="96"/>
      <c r="J95" s="95" t="s">
        <v>33</v>
      </c>
      <c r="K95" s="94"/>
    </row>
    <row r="96" spans="1:11" x14ac:dyDescent="0.25">
      <c r="A96" s="20" t="s">
        <v>70</v>
      </c>
      <c r="B96" s="21"/>
      <c r="D96" s="7"/>
      <c r="F96" s="7"/>
      <c r="H96" s="7"/>
      <c r="K96" s="91"/>
    </row>
    <row r="97" spans="1:12" s="98" customFormat="1" ht="30" x14ac:dyDescent="0.25">
      <c r="A97" s="97" t="s">
        <v>65</v>
      </c>
      <c r="B97" s="18" t="s">
        <v>163</v>
      </c>
      <c r="C97" s="15" t="s">
        <v>361</v>
      </c>
      <c r="D97" s="17"/>
      <c r="E97" s="99"/>
      <c r="F97" s="17"/>
      <c r="G97" s="99"/>
      <c r="H97" s="17">
        <v>315.52999999999997</v>
      </c>
      <c r="I97" s="99">
        <v>450</v>
      </c>
      <c r="K97" s="97"/>
    </row>
    <row r="98" spans="1:12" s="98" customFormat="1" x14ac:dyDescent="0.25">
      <c r="A98" s="97" t="s">
        <v>37</v>
      </c>
      <c r="B98" s="18" t="s">
        <v>190</v>
      </c>
      <c r="C98" s="15" t="s">
        <v>361</v>
      </c>
      <c r="D98" s="17"/>
      <c r="E98" s="99"/>
      <c r="F98" s="17"/>
      <c r="G98" s="99"/>
      <c r="H98" s="17">
        <v>330.07</v>
      </c>
      <c r="I98" s="99">
        <v>469</v>
      </c>
      <c r="K98" s="97"/>
    </row>
    <row r="99" spans="1:12" s="98" customFormat="1" ht="30" x14ac:dyDescent="0.25">
      <c r="A99" s="97" t="s">
        <v>71</v>
      </c>
      <c r="B99" s="18" t="s">
        <v>188</v>
      </c>
      <c r="C99" s="15" t="s">
        <v>361</v>
      </c>
      <c r="D99" s="17"/>
      <c r="E99" s="99"/>
      <c r="F99" s="17"/>
      <c r="G99" s="99"/>
      <c r="H99" s="17">
        <v>31.16</v>
      </c>
      <c r="I99" s="99">
        <v>15</v>
      </c>
      <c r="K99" s="97"/>
    </row>
    <row r="100" spans="1:12" s="98" customFormat="1" ht="30" x14ac:dyDescent="0.25">
      <c r="A100" s="97" t="s">
        <v>72</v>
      </c>
      <c r="B100" s="18" t="s">
        <v>187</v>
      </c>
      <c r="C100" s="15" t="s">
        <v>361</v>
      </c>
      <c r="D100" s="17"/>
      <c r="E100" s="99"/>
      <c r="F100" s="17"/>
      <c r="G100" s="99"/>
      <c r="H100" s="17">
        <v>31.16</v>
      </c>
      <c r="I100" s="99">
        <v>14</v>
      </c>
      <c r="K100" s="97"/>
    </row>
    <row r="101" spans="1:12" s="98" customFormat="1" ht="30" x14ac:dyDescent="0.25">
      <c r="A101" s="97" t="s">
        <v>73</v>
      </c>
      <c r="B101" s="18" t="s">
        <v>171</v>
      </c>
      <c r="C101" s="15" t="s">
        <v>361</v>
      </c>
      <c r="D101" s="17"/>
      <c r="E101" s="99"/>
      <c r="F101" s="17"/>
      <c r="G101" s="99"/>
      <c r="H101" s="17">
        <v>38.1</v>
      </c>
      <c r="I101" s="99">
        <v>33</v>
      </c>
      <c r="K101" s="97"/>
    </row>
    <row r="102" spans="1:12" s="98" customFormat="1" ht="30" x14ac:dyDescent="0.25">
      <c r="A102" s="97" t="s">
        <v>74</v>
      </c>
      <c r="B102" s="18" t="s">
        <v>170</v>
      </c>
      <c r="C102" s="15" t="s">
        <v>361</v>
      </c>
      <c r="D102" s="17"/>
      <c r="E102" s="99"/>
      <c r="F102" s="17"/>
      <c r="G102" s="99"/>
      <c r="H102" s="17">
        <v>31.16</v>
      </c>
      <c r="I102" s="99">
        <v>3</v>
      </c>
      <c r="K102" s="97"/>
    </row>
    <row r="103" spans="1:12" s="98" customFormat="1" ht="30" x14ac:dyDescent="0.25">
      <c r="A103" s="97" t="s">
        <v>75</v>
      </c>
      <c r="B103" s="18" t="s">
        <v>189</v>
      </c>
      <c r="C103" s="15" t="s">
        <v>361</v>
      </c>
      <c r="D103" s="17"/>
      <c r="E103" s="99"/>
      <c r="F103" s="17"/>
      <c r="G103" s="99"/>
      <c r="H103" s="17">
        <v>61.6</v>
      </c>
      <c r="I103" s="99">
        <v>77</v>
      </c>
      <c r="K103" s="97"/>
    </row>
    <row r="104" spans="1:12" s="98" customFormat="1" ht="30" x14ac:dyDescent="0.25">
      <c r="A104" s="97" t="s">
        <v>76</v>
      </c>
      <c r="B104" s="18" t="s">
        <v>169</v>
      </c>
      <c r="C104" s="15" t="s">
        <v>361</v>
      </c>
      <c r="D104" s="17"/>
      <c r="E104" s="99"/>
      <c r="F104" s="17"/>
      <c r="G104" s="99"/>
      <c r="H104" s="17">
        <v>31.16</v>
      </c>
      <c r="I104" s="99">
        <v>1</v>
      </c>
      <c r="K104" s="97"/>
    </row>
    <row r="105" spans="1:12" s="98" customFormat="1" ht="33" customHeight="1" x14ac:dyDescent="0.25">
      <c r="A105" s="97" t="s">
        <v>77</v>
      </c>
      <c r="B105" s="18" t="s">
        <v>168</v>
      </c>
      <c r="C105" s="15" t="s">
        <v>361</v>
      </c>
      <c r="D105" s="17"/>
      <c r="E105" s="99"/>
      <c r="F105" s="17"/>
      <c r="G105" s="99"/>
      <c r="H105" s="17">
        <v>203.75</v>
      </c>
      <c r="I105" s="99">
        <v>296</v>
      </c>
      <c r="K105" s="97"/>
    </row>
    <row r="106" spans="1:12" s="98" customFormat="1" ht="30" x14ac:dyDescent="0.25">
      <c r="A106" s="97" t="s">
        <v>78</v>
      </c>
      <c r="B106" s="18" t="s">
        <v>197</v>
      </c>
      <c r="C106" s="15" t="s">
        <v>361</v>
      </c>
      <c r="D106" s="17"/>
      <c r="E106" s="99"/>
      <c r="F106" s="17"/>
      <c r="G106" s="99"/>
      <c r="H106" s="17">
        <v>31.16</v>
      </c>
      <c r="I106" s="99">
        <v>9</v>
      </c>
      <c r="K106" s="97"/>
    </row>
    <row r="107" spans="1:12" s="98" customFormat="1" ht="30" x14ac:dyDescent="0.25">
      <c r="A107" s="97" t="s">
        <v>79</v>
      </c>
      <c r="B107" s="18" t="s">
        <v>167</v>
      </c>
      <c r="C107" s="15" t="s">
        <v>361</v>
      </c>
      <c r="D107" s="17"/>
      <c r="E107" s="99"/>
      <c r="F107" s="17"/>
      <c r="G107" s="99"/>
      <c r="H107" s="17">
        <v>31.16</v>
      </c>
      <c r="I107" s="99">
        <v>0</v>
      </c>
      <c r="K107" s="97"/>
    </row>
    <row r="108" spans="1:12" s="76" customFormat="1" ht="30" x14ac:dyDescent="0.25">
      <c r="A108" s="74" t="s">
        <v>80</v>
      </c>
      <c r="B108" s="75" t="s">
        <v>177</v>
      </c>
      <c r="C108" s="76" t="s">
        <v>361</v>
      </c>
      <c r="D108" s="77"/>
      <c r="E108" s="78"/>
      <c r="F108" s="77"/>
      <c r="G108" s="78"/>
      <c r="H108" s="77">
        <v>31.16</v>
      </c>
      <c r="I108" s="78">
        <v>0</v>
      </c>
      <c r="K108" s="74" t="s">
        <v>315</v>
      </c>
      <c r="L108" s="76" t="s">
        <v>280</v>
      </c>
    </row>
    <row r="109" spans="1:12" s="98" customFormat="1" ht="30" x14ac:dyDescent="0.25">
      <c r="A109" s="97" t="s">
        <v>81</v>
      </c>
      <c r="B109" s="18" t="s">
        <v>180</v>
      </c>
      <c r="C109" s="15" t="s">
        <v>361</v>
      </c>
      <c r="D109" s="17"/>
      <c r="E109" s="99"/>
      <c r="F109" s="17"/>
      <c r="G109" s="99"/>
      <c r="H109" s="17">
        <v>31.16</v>
      </c>
      <c r="I109" s="99">
        <v>0</v>
      </c>
      <c r="K109" s="97"/>
    </row>
    <row r="110" spans="1:12" s="98" customFormat="1" ht="30" x14ac:dyDescent="0.25">
      <c r="A110" s="97" t="s">
        <v>82</v>
      </c>
      <c r="B110" s="18" t="s">
        <v>179</v>
      </c>
      <c r="C110" s="15" t="s">
        <v>361</v>
      </c>
      <c r="D110" s="17"/>
      <c r="E110" s="99"/>
      <c r="F110" s="17"/>
      <c r="G110" s="99"/>
      <c r="H110" s="17">
        <v>31.16</v>
      </c>
      <c r="I110" s="99">
        <v>2</v>
      </c>
      <c r="K110" s="97"/>
    </row>
    <row r="111" spans="1:12" s="98" customFormat="1" ht="30" x14ac:dyDescent="0.25">
      <c r="A111" s="97" t="s">
        <v>83</v>
      </c>
      <c r="B111" s="18" t="s">
        <v>178</v>
      </c>
      <c r="C111" s="15" t="s">
        <v>361</v>
      </c>
      <c r="D111" s="17"/>
      <c r="E111" s="99"/>
      <c r="F111" s="17"/>
      <c r="G111" s="99"/>
      <c r="H111" s="17">
        <v>31.16</v>
      </c>
      <c r="I111" s="99">
        <v>1</v>
      </c>
      <c r="K111" s="97"/>
    </row>
    <row r="112" spans="1:12" s="98" customFormat="1" ht="30" x14ac:dyDescent="0.25">
      <c r="A112" s="97" t="s">
        <v>84</v>
      </c>
      <c r="B112" s="18" t="s">
        <v>175</v>
      </c>
      <c r="C112" s="15" t="s">
        <v>361</v>
      </c>
      <c r="D112" s="17"/>
      <c r="E112" s="99"/>
      <c r="F112" s="17"/>
      <c r="G112" s="99"/>
      <c r="H112" s="17">
        <v>31.16</v>
      </c>
      <c r="I112" s="99">
        <v>5</v>
      </c>
      <c r="K112" s="97"/>
    </row>
    <row r="113" spans="1:11" s="98" customFormat="1" ht="30" x14ac:dyDescent="0.25">
      <c r="A113" s="97" t="s">
        <v>85</v>
      </c>
      <c r="B113" s="18" t="s">
        <v>184</v>
      </c>
      <c r="C113" s="15" t="s">
        <v>361</v>
      </c>
      <c r="D113" s="17"/>
      <c r="E113" s="99"/>
      <c r="F113" s="17"/>
      <c r="G113" s="99"/>
      <c r="H113" s="17">
        <v>31.16</v>
      </c>
      <c r="I113" s="99">
        <v>0</v>
      </c>
      <c r="K113" s="97"/>
    </row>
    <row r="114" spans="1:11" s="98" customFormat="1" ht="30" x14ac:dyDescent="0.25">
      <c r="A114" s="97" t="s">
        <v>86</v>
      </c>
      <c r="B114" s="18" t="s">
        <v>185</v>
      </c>
      <c r="C114" s="15" t="s">
        <v>361</v>
      </c>
      <c r="D114" s="17"/>
      <c r="E114" s="99"/>
      <c r="F114" s="17"/>
      <c r="G114" s="99"/>
      <c r="H114" s="17">
        <v>79.069999999999993</v>
      </c>
      <c r="I114" s="99">
        <v>108</v>
      </c>
      <c r="K114" s="97"/>
    </row>
    <row r="115" spans="1:11" s="98" customFormat="1" ht="30" x14ac:dyDescent="0.25">
      <c r="A115" s="97" t="s">
        <v>87</v>
      </c>
      <c r="B115" s="18" t="s">
        <v>181</v>
      </c>
      <c r="C115" s="15" t="s">
        <v>361</v>
      </c>
      <c r="D115" s="17"/>
      <c r="E115" s="99"/>
      <c r="F115" s="17"/>
      <c r="G115" s="99"/>
      <c r="H115" s="17">
        <v>31.16</v>
      </c>
      <c r="I115" s="99">
        <v>1</v>
      </c>
      <c r="K115" s="97"/>
    </row>
    <row r="116" spans="1:11" s="98" customFormat="1" ht="30" x14ac:dyDescent="0.25">
      <c r="A116" s="97" t="s">
        <v>88</v>
      </c>
      <c r="B116" s="18" t="s">
        <v>172</v>
      </c>
      <c r="C116" s="15" t="s">
        <v>361</v>
      </c>
      <c r="D116" s="17"/>
      <c r="E116" s="99"/>
      <c r="F116" s="17"/>
      <c r="G116" s="99"/>
      <c r="H116" s="17">
        <v>863.27</v>
      </c>
      <c r="I116" s="99">
        <v>1166</v>
      </c>
      <c r="K116" s="97"/>
    </row>
    <row r="117" spans="1:11" s="98" customFormat="1" ht="45" x14ac:dyDescent="0.25">
      <c r="A117" s="97" t="s">
        <v>89</v>
      </c>
      <c r="B117" s="18" t="s">
        <v>173</v>
      </c>
      <c r="C117" s="15" t="s">
        <v>361</v>
      </c>
      <c r="D117" s="17"/>
      <c r="E117" s="99"/>
      <c r="F117" s="17"/>
      <c r="G117" s="99"/>
      <c r="H117" s="17">
        <v>181.84</v>
      </c>
      <c r="I117" s="99">
        <v>265</v>
      </c>
      <c r="K117" s="97"/>
    </row>
    <row r="118" spans="1:11" s="98" customFormat="1" ht="30" x14ac:dyDescent="0.25">
      <c r="A118" s="97" t="s">
        <v>90</v>
      </c>
      <c r="B118" s="18" t="s">
        <v>174</v>
      </c>
      <c r="C118" s="15" t="s">
        <v>361</v>
      </c>
      <c r="D118" s="17"/>
      <c r="E118" s="99"/>
      <c r="F118" s="17"/>
      <c r="G118" s="99"/>
      <c r="H118" s="17">
        <v>31.16</v>
      </c>
      <c r="I118" s="99">
        <v>0</v>
      </c>
      <c r="K118" s="97"/>
    </row>
    <row r="119" spans="1:11" s="98" customFormat="1" ht="33" customHeight="1" x14ac:dyDescent="0.25">
      <c r="A119" s="97" t="s">
        <v>91</v>
      </c>
      <c r="B119" s="18" t="s">
        <v>182</v>
      </c>
      <c r="C119" s="15" t="s">
        <v>361</v>
      </c>
      <c r="D119" s="17"/>
      <c r="E119" s="99"/>
      <c r="F119" s="17"/>
      <c r="G119" s="99"/>
      <c r="H119" s="17">
        <v>31.16</v>
      </c>
      <c r="I119" s="99">
        <v>15</v>
      </c>
      <c r="K119" s="97"/>
    </row>
    <row r="120" spans="1:11" s="98" customFormat="1" ht="30" x14ac:dyDescent="0.25">
      <c r="A120" s="97" t="s">
        <v>92</v>
      </c>
      <c r="B120" s="18" t="s">
        <v>186</v>
      </c>
      <c r="C120" s="15" t="s">
        <v>361</v>
      </c>
      <c r="D120" s="17"/>
      <c r="E120" s="99"/>
      <c r="F120" s="17"/>
      <c r="G120" s="99"/>
      <c r="H120" s="17">
        <v>31.16</v>
      </c>
      <c r="I120" s="99">
        <v>5</v>
      </c>
      <c r="K120" s="97"/>
    </row>
    <row r="121" spans="1:11" s="98" customFormat="1" ht="30" x14ac:dyDescent="0.25">
      <c r="A121" s="97" t="s">
        <v>93</v>
      </c>
      <c r="B121" s="18" t="s">
        <v>183</v>
      </c>
      <c r="C121" s="15" t="s">
        <v>361</v>
      </c>
      <c r="D121" s="17"/>
      <c r="E121" s="99"/>
      <c r="F121" s="17"/>
      <c r="G121" s="99"/>
      <c r="H121" s="17">
        <v>31.16</v>
      </c>
      <c r="I121" s="99">
        <v>19</v>
      </c>
      <c r="K121" s="97"/>
    </row>
    <row r="122" spans="1:11" s="98" customFormat="1" ht="30" x14ac:dyDescent="0.25">
      <c r="A122" s="97" t="s">
        <v>103</v>
      </c>
      <c r="B122" s="18" t="s">
        <v>194</v>
      </c>
      <c r="C122" s="15" t="s">
        <v>362</v>
      </c>
      <c r="D122" s="17"/>
      <c r="E122" s="99"/>
      <c r="F122" s="17"/>
      <c r="G122" s="99"/>
      <c r="H122" s="17">
        <v>31.16</v>
      </c>
      <c r="I122" s="99">
        <v>4</v>
      </c>
      <c r="K122" s="97"/>
    </row>
    <row r="123" spans="1:11" s="98" customFormat="1" ht="45" x14ac:dyDescent="0.25">
      <c r="A123" s="97" t="s">
        <v>104</v>
      </c>
      <c r="B123" s="18" t="s">
        <v>195</v>
      </c>
      <c r="C123" s="15" t="s">
        <v>362</v>
      </c>
      <c r="D123" s="17"/>
      <c r="E123" s="99"/>
      <c r="F123" s="17"/>
      <c r="G123" s="99"/>
      <c r="H123" s="17">
        <v>31.16</v>
      </c>
      <c r="I123" s="99">
        <v>16</v>
      </c>
      <c r="K123" s="97"/>
    </row>
    <row r="124" spans="1:11" s="98" customFormat="1" ht="30" x14ac:dyDescent="0.25">
      <c r="A124" s="97" t="s">
        <v>105</v>
      </c>
      <c r="B124" s="18" t="s">
        <v>196</v>
      </c>
      <c r="C124" s="15" t="s">
        <v>362</v>
      </c>
      <c r="D124" s="17"/>
      <c r="E124" s="99"/>
      <c r="F124" s="17"/>
      <c r="G124" s="99"/>
      <c r="H124" s="17">
        <v>46.74</v>
      </c>
      <c r="I124" s="99">
        <v>3</v>
      </c>
      <c r="K124" s="97"/>
    </row>
    <row r="125" spans="1:11" s="98" customFormat="1" ht="30" x14ac:dyDescent="0.25">
      <c r="A125" s="97" t="s">
        <v>68</v>
      </c>
      <c r="B125" s="18" t="s">
        <v>166</v>
      </c>
      <c r="C125" s="15" t="s">
        <v>362</v>
      </c>
      <c r="D125" s="17"/>
      <c r="E125" s="99"/>
      <c r="F125" s="17"/>
      <c r="G125" s="99"/>
      <c r="H125" s="17">
        <v>40.770000000000003</v>
      </c>
      <c r="I125" s="99">
        <v>38</v>
      </c>
      <c r="K125" s="97"/>
    </row>
    <row r="126" spans="1:11" s="98" customFormat="1" ht="30" x14ac:dyDescent="0.25">
      <c r="A126" s="97" t="s">
        <v>46</v>
      </c>
      <c r="B126" s="18" t="s">
        <v>193</v>
      </c>
      <c r="C126" s="15" t="s">
        <v>362</v>
      </c>
      <c r="D126" s="17"/>
      <c r="E126" s="99"/>
      <c r="F126" s="17"/>
      <c r="G126" s="99"/>
      <c r="H126" s="17">
        <v>31.16</v>
      </c>
      <c r="I126" s="99">
        <v>17</v>
      </c>
      <c r="K126" s="97"/>
    </row>
    <row r="127" spans="1:11" s="95" customFormat="1" ht="30" x14ac:dyDescent="0.25">
      <c r="A127" s="94" t="s">
        <v>17</v>
      </c>
      <c r="B127" s="66" t="s">
        <v>192</v>
      </c>
      <c r="C127" s="67" t="s">
        <v>361</v>
      </c>
      <c r="D127" s="68"/>
      <c r="E127" s="96"/>
      <c r="F127" s="68"/>
      <c r="G127" s="96"/>
      <c r="H127" s="68">
        <v>31.16</v>
      </c>
      <c r="I127" s="96">
        <v>0</v>
      </c>
      <c r="K127" s="94"/>
    </row>
    <row r="128" spans="1:11" s="98" customFormat="1" ht="30" x14ac:dyDescent="0.25">
      <c r="A128" s="97" t="s">
        <v>47</v>
      </c>
      <c r="B128" s="18" t="s">
        <v>139</v>
      </c>
      <c r="C128" s="15" t="s">
        <v>362</v>
      </c>
      <c r="D128" s="17"/>
      <c r="E128" s="99"/>
      <c r="F128" s="17"/>
      <c r="G128" s="99"/>
      <c r="H128" s="17">
        <v>50.92</v>
      </c>
      <c r="I128" s="99">
        <v>57</v>
      </c>
      <c r="K128" s="97"/>
    </row>
    <row r="129" spans="1:11" s="98" customFormat="1" ht="30" x14ac:dyDescent="0.25">
      <c r="A129" s="97" t="s">
        <v>64</v>
      </c>
      <c r="B129" s="18" t="s">
        <v>191</v>
      </c>
      <c r="C129" s="15" t="s">
        <v>362</v>
      </c>
      <c r="D129" s="17"/>
      <c r="E129" s="99"/>
      <c r="F129" s="17"/>
      <c r="G129" s="99"/>
      <c r="H129" s="17">
        <v>241.22</v>
      </c>
      <c r="I129" s="99">
        <v>349</v>
      </c>
      <c r="K129" s="97"/>
    </row>
    <row r="130" spans="1:11" s="98" customFormat="1" ht="30" x14ac:dyDescent="0.25">
      <c r="A130" s="97" t="s">
        <v>130</v>
      </c>
      <c r="B130" s="18" t="s">
        <v>131</v>
      </c>
      <c r="C130" s="15" t="s">
        <v>362</v>
      </c>
      <c r="D130" s="17"/>
      <c r="E130" s="99"/>
      <c r="F130" s="17"/>
      <c r="G130" s="99"/>
      <c r="H130" s="17">
        <v>1733.08</v>
      </c>
      <c r="I130" s="99">
        <v>2303</v>
      </c>
      <c r="K130" s="97"/>
    </row>
    <row r="131" spans="1:11" s="98" customFormat="1" ht="30" x14ac:dyDescent="0.25">
      <c r="A131" s="97" t="s">
        <v>134</v>
      </c>
      <c r="B131" s="18" t="s">
        <v>133</v>
      </c>
      <c r="C131" s="15" t="s">
        <v>362</v>
      </c>
      <c r="D131" s="17"/>
      <c r="E131" s="99"/>
      <c r="F131" s="17"/>
      <c r="G131" s="99"/>
      <c r="H131" s="17">
        <v>32.76</v>
      </c>
      <c r="I131" s="99">
        <v>23</v>
      </c>
      <c r="K131" s="97"/>
    </row>
    <row r="132" spans="1:11" s="98" customFormat="1" ht="30" x14ac:dyDescent="0.25">
      <c r="A132" s="97" t="s">
        <v>309</v>
      </c>
      <c r="B132" s="18" t="s">
        <v>135</v>
      </c>
      <c r="C132" s="15" t="s">
        <v>362</v>
      </c>
      <c r="D132" s="17"/>
      <c r="E132" s="99"/>
      <c r="F132" s="17"/>
      <c r="G132" s="99"/>
      <c r="H132" s="17">
        <v>1648.93</v>
      </c>
      <c r="I132" s="99">
        <v>2193</v>
      </c>
      <c r="K132" s="97"/>
    </row>
    <row r="133" spans="1:11" s="98" customFormat="1" x14ac:dyDescent="0.25">
      <c r="A133" s="97" t="s">
        <v>137</v>
      </c>
      <c r="B133" s="18" t="s">
        <v>138</v>
      </c>
      <c r="C133" s="15" t="s">
        <v>362</v>
      </c>
      <c r="D133" s="17"/>
      <c r="E133" s="99"/>
      <c r="F133" s="17"/>
      <c r="G133" s="99"/>
      <c r="H133" s="17">
        <v>31.16</v>
      </c>
      <c r="I133" s="99">
        <v>7</v>
      </c>
      <c r="K133" s="97"/>
    </row>
    <row r="134" spans="1:11" s="98" customFormat="1" ht="30" x14ac:dyDescent="0.25">
      <c r="A134" s="97" t="s">
        <v>140</v>
      </c>
      <c r="B134" s="18" t="s">
        <v>141</v>
      </c>
      <c r="C134" s="61" t="s">
        <v>372</v>
      </c>
      <c r="D134" s="17"/>
      <c r="E134" s="99"/>
      <c r="F134" s="17"/>
      <c r="G134" s="99"/>
      <c r="H134" s="17">
        <v>31.16</v>
      </c>
      <c r="I134" s="99">
        <v>0</v>
      </c>
      <c r="K134" s="97"/>
    </row>
    <row r="135" spans="1:11" s="98" customFormat="1" x14ac:dyDescent="0.25">
      <c r="A135" s="97" t="s">
        <v>142</v>
      </c>
      <c r="B135" s="18" t="s">
        <v>143</v>
      </c>
      <c r="C135" s="15" t="s">
        <v>362</v>
      </c>
      <c r="D135" s="17"/>
      <c r="E135" s="99"/>
      <c r="F135" s="17"/>
      <c r="G135" s="99"/>
      <c r="H135" s="17">
        <v>40.24</v>
      </c>
      <c r="I135" s="99">
        <v>37</v>
      </c>
      <c r="K135" s="97"/>
    </row>
    <row r="136" spans="1:11" s="98" customFormat="1" x14ac:dyDescent="0.25">
      <c r="A136" s="97" t="s">
        <v>144</v>
      </c>
      <c r="B136" s="18" t="s">
        <v>145</v>
      </c>
      <c r="C136" s="15" t="s">
        <v>362</v>
      </c>
      <c r="D136" s="17"/>
      <c r="E136" s="99"/>
      <c r="F136" s="17"/>
      <c r="G136" s="99"/>
      <c r="H136" s="17">
        <v>408.86</v>
      </c>
      <c r="I136" s="99">
        <v>572</v>
      </c>
      <c r="K136" s="97"/>
    </row>
    <row r="137" spans="1:11" s="98" customFormat="1" x14ac:dyDescent="0.25">
      <c r="A137" s="97" t="s">
        <v>146</v>
      </c>
      <c r="B137" s="18" t="s">
        <v>147</v>
      </c>
      <c r="C137" s="15" t="s">
        <v>362</v>
      </c>
      <c r="D137" s="17"/>
      <c r="E137" s="99"/>
      <c r="F137" s="17"/>
      <c r="G137" s="99"/>
      <c r="H137" s="17">
        <v>370.61</v>
      </c>
      <c r="I137" s="99">
        <v>522</v>
      </c>
      <c r="K137" s="97"/>
    </row>
    <row r="138" spans="1:11" x14ac:dyDescent="0.25">
      <c r="A138" s="91" t="s">
        <v>176</v>
      </c>
      <c r="B138" s="14" t="s">
        <v>165</v>
      </c>
      <c r="C138" s="2" t="s">
        <v>376</v>
      </c>
      <c r="D138" s="7"/>
      <c r="F138" s="7"/>
      <c r="H138" s="7">
        <v>244.76</v>
      </c>
      <c r="I138" s="90">
        <v>354</v>
      </c>
      <c r="K138" s="91"/>
    </row>
    <row r="139" spans="1:11" ht="30" x14ac:dyDescent="0.25">
      <c r="A139" s="20" t="s">
        <v>106</v>
      </c>
      <c r="B139" s="21"/>
      <c r="D139" s="7"/>
      <c r="F139" s="7"/>
      <c r="H139" s="7"/>
      <c r="K139" s="91"/>
    </row>
    <row r="140" spans="1:11" s="98" customFormat="1" ht="30" x14ac:dyDescent="0.25">
      <c r="A140" s="97" t="s">
        <v>107</v>
      </c>
      <c r="B140" s="18">
        <v>67</v>
      </c>
      <c r="C140" s="15" t="s">
        <v>373</v>
      </c>
      <c r="D140" s="17"/>
      <c r="E140" s="99"/>
      <c r="F140" s="17"/>
      <c r="G140" s="99"/>
      <c r="H140" s="17">
        <v>50</v>
      </c>
      <c r="I140" s="99">
        <v>100</v>
      </c>
      <c r="K140" s="97"/>
    </row>
    <row r="141" spans="1:11" ht="30" x14ac:dyDescent="0.25">
      <c r="A141" s="91" t="s">
        <v>109</v>
      </c>
      <c r="B141" s="14">
        <v>95</v>
      </c>
      <c r="C141" s="28" t="s">
        <v>348</v>
      </c>
      <c r="D141" s="7"/>
      <c r="F141" s="7"/>
      <c r="H141" s="7">
        <v>52.4</v>
      </c>
      <c r="I141" s="90">
        <v>2500</v>
      </c>
      <c r="K141" s="91"/>
    </row>
    <row r="142" spans="1:11" x14ac:dyDescent="0.25">
      <c r="A142" s="5" t="s">
        <v>155</v>
      </c>
      <c r="B142" s="23"/>
      <c r="D142" s="7"/>
      <c r="F142" s="7"/>
      <c r="H142" s="7"/>
      <c r="K142" s="91"/>
    </row>
    <row r="143" spans="1:11" s="98" customFormat="1" ht="30" x14ac:dyDescent="0.25">
      <c r="A143" s="97" t="s">
        <v>156</v>
      </c>
      <c r="B143" s="60">
        <v>61</v>
      </c>
      <c r="C143" s="101">
        <v>42292</v>
      </c>
      <c r="D143" s="17"/>
      <c r="E143" s="99"/>
      <c r="F143" s="17"/>
      <c r="G143" s="99"/>
      <c r="H143" s="17">
        <v>220.38</v>
      </c>
      <c r="I143" s="99">
        <v>17230</v>
      </c>
      <c r="K143" s="97"/>
    </row>
    <row r="144" spans="1:11" ht="30" x14ac:dyDescent="0.25">
      <c r="A144" s="20" t="s">
        <v>39</v>
      </c>
      <c r="B144" s="21"/>
      <c r="D144" s="7"/>
      <c r="F144" s="7"/>
      <c r="H144" s="7"/>
      <c r="K144" s="91"/>
    </row>
    <row r="145" spans="1:11" s="95" customFormat="1" ht="60" x14ac:dyDescent="0.25">
      <c r="A145" s="94" t="s">
        <v>40</v>
      </c>
      <c r="B145" s="66">
        <v>95</v>
      </c>
      <c r="C145" s="100">
        <v>42277</v>
      </c>
      <c r="D145" s="68"/>
      <c r="E145" s="96"/>
      <c r="F145" s="68"/>
      <c r="G145" s="96"/>
      <c r="H145" s="68">
        <v>16</v>
      </c>
      <c r="I145" s="96">
        <v>400</v>
      </c>
      <c r="K145" s="94"/>
    </row>
    <row r="146" spans="1:11" ht="45" x14ac:dyDescent="0.25">
      <c r="A146" s="20" t="s">
        <v>354</v>
      </c>
      <c r="B146" s="14"/>
      <c r="C146" s="92"/>
      <c r="D146" s="7"/>
      <c r="F146" s="7"/>
      <c r="H146" s="7"/>
      <c r="K146" s="91"/>
    </row>
    <row r="147" spans="1:11" ht="30" x14ac:dyDescent="0.25">
      <c r="A147" s="91" t="s">
        <v>355</v>
      </c>
      <c r="B147" s="14" t="s">
        <v>356</v>
      </c>
      <c r="C147" s="92" t="s">
        <v>357</v>
      </c>
      <c r="D147" s="7"/>
      <c r="F147" s="7"/>
      <c r="H147" s="7">
        <v>10</v>
      </c>
      <c r="I147" s="90">
        <v>0</v>
      </c>
      <c r="K147" s="91"/>
    </row>
    <row r="148" spans="1:11" x14ac:dyDescent="0.25">
      <c r="D148" s="93">
        <f t="shared" ref="D148:I148" si="0">SUM(D2:D145)</f>
        <v>29460.530000000006</v>
      </c>
      <c r="E148" s="90">
        <f t="shared" si="0"/>
        <v>249904</v>
      </c>
      <c r="F148" s="93">
        <f t="shared" si="0"/>
        <v>1332.2000000000003</v>
      </c>
      <c r="G148" s="90">
        <f t="shared" si="0"/>
        <v>1819</v>
      </c>
      <c r="H148" s="93">
        <f t="shared" si="0"/>
        <v>7987.5799999999981</v>
      </c>
      <c r="I148" s="90">
        <f t="shared" si="0"/>
        <v>29679</v>
      </c>
      <c r="J148" s="93"/>
    </row>
  </sheetData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148"/>
  <sheetViews>
    <sheetView workbookViewId="0">
      <pane ySplit="1" topLeftCell="A44" activePane="bottomLeft" state="frozen"/>
      <selection pane="bottomLeft" activeCell="D60" sqref="D60"/>
    </sheetView>
  </sheetViews>
  <sheetFormatPr defaultRowHeight="15" x14ac:dyDescent="0.25"/>
  <cols>
    <col min="1" max="1" width="18.5703125" style="2" customWidth="1"/>
    <col min="2" max="2" width="12.28515625" style="2" bestFit="1" customWidth="1"/>
    <col min="3" max="3" width="23.5703125" style="2" bestFit="1" customWidth="1"/>
    <col min="4" max="4" width="11.5703125" style="2" bestFit="1" customWidth="1"/>
    <col min="5" max="5" width="12.5703125" style="51" bestFit="1" customWidth="1"/>
    <col min="6" max="6" width="10.5703125" style="2" bestFit="1" customWidth="1"/>
    <col min="7" max="7" width="10.5703125" style="51" bestFit="1" customWidth="1"/>
    <col min="8" max="8" width="10.5703125" style="2" bestFit="1" customWidth="1"/>
    <col min="9" max="9" width="11.5703125" style="51" bestFit="1" customWidth="1"/>
    <col min="10" max="10" width="9.140625" style="2"/>
    <col min="11" max="11" width="15.42578125" style="2" customWidth="1"/>
    <col min="12" max="16384" width="9.140625" style="2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13"/>
    </row>
    <row r="3" spans="1:11" s="67" customFormat="1" ht="45" x14ac:dyDescent="0.25">
      <c r="A3" s="65" t="s">
        <v>339</v>
      </c>
      <c r="B3" s="66">
        <v>3038136345</v>
      </c>
      <c r="C3" s="67" t="s">
        <v>338</v>
      </c>
      <c r="D3" s="68"/>
      <c r="E3" s="71"/>
      <c r="F3" s="68">
        <v>746.96</v>
      </c>
      <c r="G3" s="71">
        <v>1178</v>
      </c>
      <c r="H3" s="68"/>
      <c r="I3" s="71"/>
      <c r="J3" s="67" t="s">
        <v>10</v>
      </c>
      <c r="K3" s="65"/>
    </row>
    <row r="4" spans="1:11" s="67" customFormat="1" ht="30" x14ac:dyDescent="0.25">
      <c r="A4" s="65" t="s">
        <v>13</v>
      </c>
      <c r="B4" s="66">
        <v>3026210376</v>
      </c>
      <c r="C4" s="67" t="s">
        <v>341</v>
      </c>
      <c r="D4" s="68"/>
      <c r="E4" s="71"/>
      <c r="F4" s="68">
        <v>49.67</v>
      </c>
      <c r="G4" s="71">
        <v>12</v>
      </c>
      <c r="H4" s="68"/>
      <c r="I4" s="71"/>
      <c r="J4" s="67" t="s">
        <v>10</v>
      </c>
      <c r="K4" s="65"/>
    </row>
    <row r="5" spans="1:11" s="67" customFormat="1" ht="30" x14ac:dyDescent="0.25">
      <c r="A5" s="65" t="s">
        <v>36</v>
      </c>
      <c r="B5" s="66">
        <v>3039781986</v>
      </c>
      <c r="C5" s="67" t="s">
        <v>343</v>
      </c>
      <c r="D5" s="68"/>
      <c r="E5" s="71"/>
      <c r="F5" s="68">
        <v>42.5</v>
      </c>
      <c r="G5" s="71">
        <v>0</v>
      </c>
      <c r="H5" s="68"/>
      <c r="I5" s="71"/>
      <c r="J5" s="67" t="s">
        <v>10</v>
      </c>
      <c r="K5" s="65"/>
    </row>
    <row r="6" spans="1:11" s="67" customFormat="1" x14ac:dyDescent="0.25">
      <c r="A6" s="65" t="s">
        <v>34</v>
      </c>
      <c r="B6" s="66">
        <v>3039472917</v>
      </c>
      <c r="C6" s="67" t="s">
        <v>340</v>
      </c>
      <c r="D6" s="68"/>
      <c r="E6" s="71"/>
      <c r="F6" s="68">
        <v>53.86</v>
      </c>
      <c r="G6" s="71">
        <v>19</v>
      </c>
      <c r="H6" s="68"/>
      <c r="I6" s="71"/>
      <c r="J6" s="67" t="s">
        <v>10</v>
      </c>
      <c r="K6" s="65"/>
    </row>
    <row r="7" spans="1:11" s="67" customFormat="1" x14ac:dyDescent="0.25">
      <c r="A7" s="65" t="s">
        <v>37</v>
      </c>
      <c r="B7" s="66">
        <v>4005211270</v>
      </c>
      <c r="C7" s="67" t="s">
        <v>343</v>
      </c>
      <c r="D7" s="68"/>
      <c r="E7" s="71"/>
      <c r="F7" s="68">
        <v>37.72</v>
      </c>
      <c r="G7" s="71">
        <v>3</v>
      </c>
      <c r="H7" s="68"/>
      <c r="I7" s="71"/>
      <c r="J7" s="67" t="s">
        <v>10</v>
      </c>
      <c r="K7" s="65"/>
    </row>
    <row r="8" spans="1:11" s="67" customFormat="1" ht="45" x14ac:dyDescent="0.25">
      <c r="A8" s="65" t="s">
        <v>41</v>
      </c>
      <c r="B8" s="66">
        <v>3044004323</v>
      </c>
      <c r="C8" s="67" t="s">
        <v>338</v>
      </c>
      <c r="D8" s="68"/>
      <c r="E8" s="71"/>
      <c r="F8" s="68">
        <v>56.89</v>
      </c>
      <c r="G8" s="71">
        <v>17</v>
      </c>
      <c r="H8" s="68"/>
      <c r="I8" s="71"/>
      <c r="J8" s="67" t="s">
        <v>10</v>
      </c>
      <c r="K8" s="65"/>
    </row>
    <row r="9" spans="1:11" s="67" customFormat="1" ht="45" x14ac:dyDescent="0.25">
      <c r="A9" s="65" t="s">
        <v>42</v>
      </c>
      <c r="B9" s="66">
        <v>3029257704</v>
      </c>
      <c r="C9" s="67" t="s">
        <v>338</v>
      </c>
      <c r="D9" s="68"/>
      <c r="E9" s="71"/>
      <c r="F9" s="68">
        <v>50.86</v>
      </c>
      <c r="G9" s="71">
        <v>6</v>
      </c>
      <c r="H9" s="68"/>
      <c r="I9" s="71"/>
      <c r="J9" s="67" t="s">
        <v>10</v>
      </c>
      <c r="K9" s="65"/>
    </row>
    <row r="10" spans="1:11" s="67" customFormat="1" ht="30" x14ac:dyDescent="0.25">
      <c r="A10" s="65" t="s">
        <v>44</v>
      </c>
      <c r="B10" s="66">
        <v>3039640691</v>
      </c>
      <c r="C10" s="67" t="s">
        <v>346</v>
      </c>
      <c r="D10" s="68"/>
      <c r="E10" s="71"/>
      <c r="F10" s="68">
        <v>34.119999999999997</v>
      </c>
      <c r="G10" s="71">
        <v>36</v>
      </c>
      <c r="H10" s="68"/>
      <c r="I10" s="71"/>
      <c r="J10" s="67" t="s">
        <v>10</v>
      </c>
      <c r="K10" s="65"/>
    </row>
    <row r="11" spans="1:11" s="67" customFormat="1" ht="30" x14ac:dyDescent="0.25">
      <c r="A11" s="65" t="s">
        <v>43</v>
      </c>
      <c r="B11" s="66">
        <v>3039782225</v>
      </c>
      <c r="C11" s="67" t="s">
        <v>337</v>
      </c>
      <c r="D11" s="68"/>
      <c r="E11" s="71"/>
      <c r="F11" s="68">
        <v>77.19</v>
      </c>
      <c r="G11" s="71">
        <v>58</v>
      </c>
      <c r="H11" s="68"/>
      <c r="I11" s="71"/>
      <c r="J11" s="67" t="s">
        <v>10</v>
      </c>
      <c r="K11" s="65"/>
    </row>
    <row r="12" spans="1:11" s="67" customFormat="1" ht="45" x14ac:dyDescent="0.25">
      <c r="A12" s="65" t="s">
        <v>45</v>
      </c>
      <c r="B12" s="66">
        <v>3039618715</v>
      </c>
      <c r="C12" s="67" t="s">
        <v>338</v>
      </c>
      <c r="D12" s="68"/>
      <c r="E12" s="71"/>
      <c r="F12" s="68">
        <v>47.56</v>
      </c>
      <c r="G12" s="71">
        <v>0</v>
      </c>
      <c r="H12" s="68"/>
      <c r="I12" s="71"/>
      <c r="J12" s="67" t="s">
        <v>10</v>
      </c>
      <c r="K12" s="65"/>
    </row>
    <row r="13" spans="1:11" s="67" customFormat="1" ht="30" x14ac:dyDescent="0.25">
      <c r="A13" s="65" t="s">
        <v>46</v>
      </c>
      <c r="B13" s="66">
        <v>3023189549</v>
      </c>
      <c r="C13" s="67" t="s">
        <v>342</v>
      </c>
      <c r="D13" s="68"/>
      <c r="E13" s="71"/>
      <c r="F13" s="68">
        <v>42.5</v>
      </c>
      <c r="G13" s="71">
        <v>0</v>
      </c>
      <c r="H13" s="68"/>
      <c r="I13" s="71"/>
      <c r="J13" s="67" t="s">
        <v>10</v>
      </c>
      <c r="K13" s="65"/>
    </row>
    <row r="14" spans="1:11" s="67" customFormat="1" ht="30" x14ac:dyDescent="0.25">
      <c r="A14" s="65" t="s">
        <v>47</v>
      </c>
      <c r="B14" s="66">
        <v>3034878837</v>
      </c>
      <c r="C14" s="67" t="s">
        <v>342</v>
      </c>
      <c r="D14" s="68"/>
      <c r="E14" s="71"/>
      <c r="F14" s="68">
        <v>42.5</v>
      </c>
      <c r="G14" s="71">
        <v>0</v>
      </c>
      <c r="H14" s="68"/>
      <c r="I14" s="71"/>
      <c r="J14" s="67" t="s">
        <v>10</v>
      </c>
      <c r="K14" s="65"/>
    </row>
    <row r="15" spans="1:11" s="67" customFormat="1" ht="30" x14ac:dyDescent="0.25">
      <c r="A15" s="65" t="s">
        <v>64</v>
      </c>
      <c r="B15" s="66">
        <v>3025670416</v>
      </c>
      <c r="C15" s="67" t="s">
        <v>343</v>
      </c>
      <c r="D15" s="68"/>
      <c r="E15" s="71"/>
      <c r="F15" s="68">
        <v>47.28</v>
      </c>
      <c r="G15" s="71">
        <v>8</v>
      </c>
      <c r="H15" s="68"/>
      <c r="I15" s="71"/>
      <c r="J15" s="67" t="s">
        <v>10</v>
      </c>
      <c r="K15" s="65"/>
    </row>
    <row r="16" spans="1:11" s="67" customFormat="1" ht="30" x14ac:dyDescent="0.25">
      <c r="A16" s="65" t="s">
        <v>65</v>
      </c>
      <c r="B16" s="66">
        <v>3023110891</v>
      </c>
      <c r="C16" s="67" t="s">
        <v>341</v>
      </c>
      <c r="D16" s="68"/>
      <c r="E16" s="71"/>
      <c r="F16" s="68">
        <v>116.06</v>
      </c>
      <c r="G16" s="71">
        <v>123</v>
      </c>
      <c r="H16" s="68"/>
      <c r="I16" s="71"/>
      <c r="J16" s="67" t="s">
        <v>10</v>
      </c>
      <c r="K16" s="65"/>
    </row>
    <row r="17" spans="1:11" s="67" customFormat="1" ht="30" x14ac:dyDescent="0.25">
      <c r="A17" s="65" t="s">
        <v>69</v>
      </c>
      <c r="B17" s="66">
        <v>3022125574</v>
      </c>
      <c r="C17" s="67" t="s">
        <v>347</v>
      </c>
      <c r="D17" s="68"/>
      <c r="E17" s="71"/>
      <c r="F17" s="68">
        <v>30.46</v>
      </c>
      <c r="G17" s="71">
        <v>16</v>
      </c>
      <c r="H17" s="68"/>
      <c r="I17" s="71"/>
      <c r="J17" s="67" t="s">
        <v>10</v>
      </c>
      <c r="K17" s="65"/>
    </row>
    <row r="18" spans="1:11" s="67" customFormat="1" ht="30" x14ac:dyDescent="0.25">
      <c r="A18" s="65" t="s">
        <v>68</v>
      </c>
      <c r="B18" s="66">
        <v>3022125841</v>
      </c>
      <c r="C18" s="67" t="s">
        <v>347</v>
      </c>
      <c r="D18" s="68"/>
      <c r="E18" s="71"/>
      <c r="F18" s="68">
        <v>42.5</v>
      </c>
      <c r="G18" s="71">
        <v>0</v>
      </c>
      <c r="H18" s="68"/>
      <c r="I18" s="71"/>
      <c r="J18" s="67" t="s">
        <v>10</v>
      </c>
      <c r="K18" s="65"/>
    </row>
    <row r="19" spans="1:11" x14ac:dyDescent="0.25">
      <c r="A19" s="20" t="s">
        <v>25</v>
      </c>
      <c r="B19" s="21"/>
      <c r="D19" s="7"/>
      <c r="F19" s="7"/>
      <c r="H19" s="7"/>
      <c r="K19" s="13"/>
    </row>
    <row r="20" spans="1:11" s="67" customFormat="1" ht="30" x14ac:dyDescent="0.25">
      <c r="A20" s="65" t="s">
        <v>310</v>
      </c>
      <c r="B20" s="66">
        <v>8463322</v>
      </c>
      <c r="C20" s="67" t="s">
        <v>358</v>
      </c>
      <c r="D20" s="68">
        <v>6109.28</v>
      </c>
      <c r="E20" s="71">
        <v>95600</v>
      </c>
      <c r="F20" s="68"/>
      <c r="G20" s="71"/>
      <c r="H20" s="68"/>
      <c r="I20" s="71"/>
      <c r="J20" s="67" t="s">
        <v>33</v>
      </c>
      <c r="K20" s="65"/>
    </row>
    <row r="21" spans="1:11" s="67" customFormat="1" ht="30" x14ac:dyDescent="0.25">
      <c r="A21" s="65" t="s">
        <v>113</v>
      </c>
      <c r="B21" s="66">
        <v>5089282</v>
      </c>
      <c r="C21" s="67" t="s">
        <v>358</v>
      </c>
      <c r="D21" s="68">
        <v>496.75</v>
      </c>
      <c r="E21" s="71">
        <v>1800</v>
      </c>
      <c r="F21" s="68"/>
      <c r="G21" s="71"/>
      <c r="H21" s="68"/>
      <c r="I21" s="71"/>
      <c r="J21" s="67" t="s">
        <v>33</v>
      </c>
      <c r="K21" s="65"/>
    </row>
    <row r="22" spans="1:11" s="67" customFormat="1" ht="30" x14ac:dyDescent="0.25">
      <c r="A22" s="65" t="s">
        <v>252</v>
      </c>
      <c r="B22" s="67">
        <v>8239130</v>
      </c>
      <c r="C22" s="67" t="s">
        <v>358</v>
      </c>
      <c r="D22" s="68">
        <v>38.74</v>
      </c>
      <c r="E22" s="71">
        <v>302</v>
      </c>
      <c r="F22" s="68"/>
      <c r="G22" s="71"/>
      <c r="H22" s="68"/>
      <c r="I22" s="71"/>
      <c r="J22" s="67" t="s">
        <v>33</v>
      </c>
      <c r="K22" s="65"/>
    </row>
    <row r="23" spans="1:11" s="67" customFormat="1" ht="30" x14ac:dyDescent="0.25">
      <c r="A23" s="65" t="s">
        <v>114</v>
      </c>
      <c r="B23" s="66">
        <v>5089344</v>
      </c>
      <c r="C23" s="67" t="s">
        <v>358</v>
      </c>
      <c r="D23" s="68">
        <v>36.42</v>
      </c>
      <c r="E23" s="71">
        <v>273</v>
      </c>
      <c r="F23" s="68"/>
      <c r="G23" s="71"/>
      <c r="H23" s="68"/>
      <c r="I23" s="71"/>
      <c r="J23" s="67" t="s">
        <v>33</v>
      </c>
      <c r="K23" s="65"/>
    </row>
    <row r="24" spans="1:11" s="67" customFormat="1" ht="30" x14ac:dyDescent="0.25">
      <c r="A24" s="65" t="s">
        <v>19</v>
      </c>
      <c r="B24" s="66">
        <v>7010755</v>
      </c>
      <c r="C24" s="67" t="s">
        <v>358</v>
      </c>
      <c r="D24" s="68">
        <v>14.6</v>
      </c>
      <c r="E24" s="71">
        <v>0</v>
      </c>
      <c r="F24" s="68"/>
      <c r="G24" s="71"/>
      <c r="H24" s="68"/>
      <c r="I24" s="71"/>
      <c r="J24" s="67" t="s">
        <v>33</v>
      </c>
      <c r="K24" s="65"/>
    </row>
    <row r="25" spans="1:11" s="67" customFormat="1" ht="30" x14ac:dyDescent="0.25">
      <c r="A25" s="65" t="s">
        <v>115</v>
      </c>
      <c r="B25" s="66">
        <v>9261200</v>
      </c>
      <c r="C25" s="67" t="s">
        <v>358</v>
      </c>
      <c r="D25" s="68">
        <v>176.03</v>
      </c>
      <c r="E25" s="71">
        <v>1915</v>
      </c>
      <c r="F25" s="68"/>
      <c r="G25" s="71"/>
      <c r="H25" s="68"/>
      <c r="I25" s="71"/>
      <c r="J25" s="67" t="s">
        <v>33</v>
      </c>
      <c r="K25" s="65"/>
    </row>
    <row r="26" spans="1:11" s="67" customFormat="1" ht="30" x14ac:dyDescent="0.25">
      <c r="A26" s="65" t="s">
        <v>116</v>
      </c>
      <c r="B26" s="66">
        <v>5105092</v>
      </c>
      <c r="C26" s="67" t="s">
        <v>358</v>
      </c>
      <c r="D26" s="68">
        <v>527.54</v>
      </c>
      <c r="E26" s="71">
        <v>5999</v>
      </c>
      <c r="F26" s="68"/>
      <c r="G26" s="71"/>
      <c r="H26" s="68"/>
      <c r="I26" s="71"/>
      <c r="J26" s="67" t="s">
        <v>33</v>
      </c>
      <c r="K26" s="65"/>
    </row>
    <row r="27" spans="1:11" s="67" customFormat="1" ht="30" x14ac:dyDescent="0.25">
      <c r="A27" s="65" t="s">
        <v>119</v>
      </c>
      <c r="B27" s="66">
        <v>5074402</v>
      </c>
      <c r="C27" s="67" t="s">
        <v>351</v>
      </c>
      <c r="D27" s="68">
        <v>14.6</v>
      </c>
      <c r="E27" s="71">
        <v>0</v>
      </c>
      <c r="F27" s="68"/>
      <c r="G27" s="71"/>
      <c r="H27" s="68"/>
      <c r="I27" s="71"/>
      <c r="J27" s="67" t="s">
        <v>33</v>
      </c>
      <c r="K27" s="65"/>
    </row>
    <row r="28" spans="1:11" s="67" customFormat="1" ht="30" x14ac:dyDescent="0.25">
      <c r="A28" s="65" t="s">
        <v>248</v>
      </c>
      <c r="B28" s="66">
        <v>5264802</v>
      </c>
      <c r="C28" s="67" t="s">
        <v>351</v>
      </c>
      <c r="D28" s="68">
        <v>112.25</v>
      </c>
      <c r="E28" s="71">
        <v>770</v>
      </c>
      <c r="F28" s="68"/>
      <c r="G28" s="71"/>
      <c r="H28" s="68"/>
      <c r="I28" s="71"/>
      <c r="J28" s="67" t="s">
        <v>33</v>
      </c>
      <c r="K28" s="65"/>
    </row>
    <row r="29" spans="1:11" s="67" customFormat="1" x14ac:dyDescent="0.25">
      <c r="A29" s="65" t="s">
        <v>264</v>
      </c>
      <c r="B29" s="66">
        <v>8234139</v>
      </c>
      <c r="C29" s="67" t="s">
        <v>351</v>
      </c>
      <c r="D29" s="68">
        <v>23.05</v>
      </c>
      <c r="E29" s="71">
        <v>106</v>
      </c>
      <c r="F29" s="68"/>
      <c r="G29" s="71"/>
      <c r="H29" s="68"/>
      <c r="I29" s="71"/>
      <c r="J29" s="67" t="s">
        <v>33</v>
      </c>
      <c r="K29" s="65"/>
    </row>
    <row r="30" spans="1:11" s="67" customFormat="1" x14ac:dyDescent="0.25">
      <c r="A30" s="65" t="s">
        <v>250</v>
      </c>
      <c r="B30" s="66">
        <v>5074495</v>
      </c>
      <c r="C30" s="67" t="s">
        <v>351</v>
      </c>
      <c r="D30" s="68">
        <v>14.6</v>
      </c>
      <c r="E30" s="71">
        <v>0</v>
      </c>
      <c r="F30" s="68"/>
      <c r="G30" s="71"/>
      <c r="H30" s="68"/>
      <c r="I30" s="71"/>
      <c r="J30" s="67" t="s">
        <v>33</v>
      </c>
      <c r="K30" s="65"/>
    </row>
    <row r="31" spans="1:11" s="67" customFormat="1" ht="45" x14ac:dyDescent="0.25">
      <c r="A31" s="65" t="s">
        <v>123</v>
      </c>
      <c r="B31" s="66">
        <v>5036644</v>
      </c>
      <c r="C31" s="67" t="s">
        <v>352</v>
      </c>
      <c r="D31" s="68">
        <v>175.5</v>
      </c>
      <c r="E31" s="71">
        <v>589</v>
      </c>
      <c r="F31" s="68"/>
      <c r="G31" s="71"/>
      <c r="H31" s="68"/>
      <c r="I31" s="71"/>
      <c r="J31" s="67" t="s">
        <v>33</v>
      </c>
      <c r="K31" s="65"/>
    </row>
    <row r="32" spans="1:11" s="67" customFormat="1" ht="30" x14ac:dyDescent="0.25">
      <c r="A32" s="65" t="s">
        <v>127</v>
      </c>
      <c r="B32" s="66">
        <v>5020429</v>
      </c>
      <c r="C32" s="67" t="s">
        <v>352</v>
      </c>
      <c r="D32" s="68">
        <v>22.16</v>
      </c>
      <c r="E32" s="71">
        <v>150</v>
      </c>
      <c r="F32" s="68"/>
      <c r="G32" s="71"/>
      <c r="H32" s="68"/>
      <c r="I32" s="71"/>
      <c r="J32" s="67" t="s">
        <v>33</v>
      </c>
      <c r="K32" s="65"/>
    </row>
    <row r="33" spans="1:11" s="67" customFormat="1" ht="45" x14ac:dyDescent="0.25">
      <c r="A33" s="65" t="s">
        <v>125</v>
      </c>
      <c r="B33" s="66">
        <v>6722734</v>
      </c>
      <c r="C33" s="67" t="s">
        <v>352</v>
      </c>
      <c r="D33" s="68">
        <v>193.24</v>
      </c>
      <c r="E33" s="71">
        <v>855</v>
      </c>
      <c r="F33" s="68"/>
      <c r="G33" s="71"/>
      <c r="H33" s="68"/>
      <c r="I33" s="71"/>
      <c r="J33" s="67" t="s">
        <v>33</v>
      </c>
      <c r="K33" s="65"/>
    </row>
    <row r="34" spans="1:11" s="67" customFormat="1" ht="30" x14ac:dyDescent="0.25">
      <c r="A34" s="65" t="s">
        <v>126</v>
      </c>
      <c r="B34" s="80">
        <v>5037202</v>
      </c>
      <c r="C34" s="67" t="s">
        <v>352</v>
      </c>
      <c r="D34" s="68">
        <v>161.85</v>
      </c>
      <c r="E34" s="71">
        <v>1913</v>
      </c>
      <c r="F34" s="68"/>
      <c r="G34" s="71"/>
      <c r="H34" s="68"/>
      <c r="I34" s="71"/>
      <c r="J34" s="67" t="s">
        <v>33</v>
      </c>
      <c r="K34" s="65"/>
    </row>
    <row r="35" spans="1:11" s="67" customFormat="1" ht="30" x14ac:dyDescent="0.25">
      <c r="A35" s="65" t="s">
        <v>128</v>
      </c>
      <c r="B35" s="66">
        <v>5037326</v>
      </c>
      <c r="C35" s="67" t="s">
        <v>352</v>
      </c>
      <c r="D35" s="68">
        <v>85.96</v>
      </c>
      <c r="E35" s="71">
        <v>929</v>
      </c>
      <c r="F35" s="68"/>
      <c r="G35" s="71"/>
      <c r="H35" s="68"/>
      <c r="I35" s="71"/>
      <c r="J35" s="67" t="s">
        <v>33</v>
      </c>
      <c r="K35" s="65"/>
    </row>
    <row r="36" spans="1:11" s="67" customFormat="1" x14ac:dyDescent="0.25">
      <c r="A36" s="65" t="s">
        <v>37</v>
      </c>
      <c r="B36" s="66">
        <v>5064854</v>
      </c>
      <c r="C36" s="67" t="s">
        <v>352</v>
      </c>
      <c r="D36" s="68">
        <v>719.72</v>
      </c>
      <c r="E36" s="71">
        <v>8760</v>
      </c>
      <c r="F36" s="68"/>
      <c r="G36" s="71"/>
      <c r="H36" s="68"/>
      <c r="I36" s="71"/>
      <c r="J36" s="67" t="s">
        <v>33</v>
      </c>
      <c r="K36" s="65"/>
    </row>
    <row r="37" spans="1:11" s="67" customFormat="1" ht="30" x14ac:dyDescent="0.25">
      <c r="A37" s="65" t="s">
        <v>32</v>
      </c>
      <c r="B37" s="66">
        <v>5021826</v>
      </c>
      <c r="C37" s="67" t="s">
        <v>352</v>
      </c>
      <c r="D37" s="68">
        <v>50.86</v>
      </c>
      <c r="E37" s="71">
        <v>461</v>
      </c>
      <c r="F37" s="68"/>
      <c r="G37" s="71"/>
      <c r="H37" s="68"/>
      <c r="I37" s="71"/>
      <c r="J37" s="67" t="s">
        <v>33</v>
      </c>
      <c r="K37" s="65"/>
    </row>
    <row r="38" spans="1:11" s="67" customFormat="1" ht="45" x14ac:dyDescent="0.25">
      <c r="A38" s="65" t="s">
        <v>129</v>
      </c>
      <c r="B38" s="66">
        <v>4964784</v>
      </c>
      <c r="C38" s="67" t="s">
        <v>335</v>
      </c>
      <c r="D38" s="68">
        <v>22.65</v>
      </c>
      <c r="E38" s="71">
        <v>150</v>
      </c>
      <c r="F38" s="68"/>
      <c r="G38" s="71"/>
      <c r="H38" s="68"/>
      <c r="I38" s="71"/>
      <c r="J38" s="67" t="s">
        <v>33</v>
      </c>
      <c r="K38" s="65"/>
    </row>
    <row r="39" spans="1:11" s="67" customFormat="1" ht="30" x14ac:dyDescent="0.25">
      <c r="A39" s="65" t="s">
        <v>254</v>
      </c>
      <c r="B39" s="66">
        <v>4955887</v>
      </c>
      <c r="C39" s="67" t="s">
        <v>350</v>
      </c>
      <c r="D39" s="68">
        <v>25.68</v>
      </c>
      <c r="E39" s="71">
        <v>140</v>
      </c>
      <c r="F39" s="68"/>
      <c r="G39" s="71"/>
      <c r="H39" s="68"/>
      <c r="I39" s="71"/>
      <c r="J39" s="67" t="s">
        <v>33</v>
      </c>
      <c r="K39" s="65"/>
    </row>
    <row r="40" spans="1:11" s="15" customFormat="1" ht="30" x14ac:dyDescent="0.25">
      <c r="A40" s="16" t="s">
        <v>64</v>
      </c>
      <c r="B40" s="18">
        <v>4932391</v>
      </c>
      <c r="C40" s="15" t="s">
        <v>350</v>
      </c>
      <c r="D40" s="17">
        <v>341.57</v>
      </c>
      <c r="E40" s="64">
        <v>3289</v>
      </c>
      <c r="F40" s="17"/>
      <c r="G40" s="64"/>
      <c r="H40" s="17"/>
      <c r="I40" s="64"/>
      <c r="J40" s="15" t="s">
        <v>33</v>
      </c>
      <c r="K40" s="16"/>
    </row>
    <row r="41" spans="1:11" s="15" customFormat="1" ht="30" x14ac:dyDescent="0.25">
      <c r="A41" s="16" t="s">
        <v>28</v>
      </c>
      <c r="B41" s="18">
        <v>5265050</v>
      </c>
      <c r="C41" s="15" t="s">
        <v>359</v>
      </c>
      <c r="D41" s="17">
        <v>22.59</v>
      </c>
      <c r="E41" s="64">
        <v>150</v>
      </c>
      <c r="F41" s="17"/>
      <c r="G41" s="64"/>
      <c r="H41" s="17"/>
      <c r="I41" s="64"/>
      <c r="J41" s="15" t="s">
        <v>33</v>
      </c>
      <c r="K41" s="16"/>
    </row>
    <row r="42" spans="1:11" s="15" customFormat="1" ht="30" x14ac:dyDescent="0.25">
      <c r="A42" s="16" t="s">
        <v>29</v>
      </c>
      <c r="B42" s="18">
        <v>5265019</v>
      </c>
      <c r="C42" s="15" t="s">
        <v>359</v>
      </c>
      <c r="D42" s="17">
        <v>16.059999999999999</v>
      </c>
      <c r="E42" s="64">
        <v>70</v>
      </c>
      <c r="F42" s="17"/>
      <c r="G42" s="64"/>
      <c r="H42" s="17"/>
      <c r="I42" s="64"/>
      <c r="J42" s="15" t="s">
        <v>33</v>
      </c>
      <c r="K42" s="16"/>
    </row>
    <row r="43" spans="1:11" s="67" customFormat="1" ht="30" x14ac:dyDescent="0.25">
      <c r="A43" s="65" t="s">
        <v>243</v>
      </c>
      <c r="B43" s="66">
        <v>4426005</v>
      </c>
      <c r="C43" s="67" t="s">
        <v>359</v>
      </c>
      <c r="D43" s="68">
        <v>1252.07</v>
      </c>
      <c r="E43" s="71">
        <v>11100</v>
      </c>
      <c r="F43" s="68"/>
      <c r="G43" s="71"/>
      <c r="H43" s="68"/>
      <c r="I43" s="71"/>
      <c r="J43" s="67" t="s">
        <v>33</v>
      </c>
      <c r="K43" s="65"/>
    </row>
    <row r="44" spans="1:11" s="67" customFormat="1" ht="30" x14ac:dyDescent="0.25">
      <c r="A44" s="65" t="s">
        <v>22</v>
      </c>
      <c r="B44" s="66">
        <v>5264554</v>
      </c>
      <c r="C44" s="67" t="s">
        <v>359</v>
      </c>
      <c r="D44" s="68">
        <v>25.67</v>
      </c>
      <c r="E44" s="71">
        <v>140</v>
      </c>
      <c r="F44" s="68"/>
      <c r="G44" s="71"/>
      <c r="H44" s="68"/>
      <c r="I44" s="71"/>
      <c r="J44" s="67" t="s">
        <v>33</v>
      </c>
      <c r="K44" s="65"/>
    </row>
    <row r="45" spans="1:11" s="67" customFormat="1" ht="30" x14ac:dyDescent="0.25">
      <c r="A45" s="65" t="s">
        <v>241</v>
      </c>
      <c r="B45" s="66">
        <v>4912148</v>
      </c>
      <c r="C45" s="67" t="s">
        <v>359</v>
      </c>
      <c r="D45" s="68">
        <v>299.79000000000002</v>
      </c>
      <c r="E45" s="71">
        <v>1260</v>
      </c>
      <c r="F45" s="68"/>
      <c r="G45" s="71"/>
      <c r="H45" s="68"/>
      <c r="I45" s="71"/>
      <c r="J45" s="67" t="s">
        <v>33</v>
      </c>
      <c r="K45" s="65"/>
    </row>
    <row r="46" spans="1:11" s="67" customFormat="1" ht="30" x14ac:dyDescent="0.25">
      <c r="A46" s="65" t="s">
        <v>242</v>
      </c>
      <c r="B46" s="66">
        <v>4426036</v>
      </c>
      <c r="C46" s="67" t="s">
        <v>359</v>
      </c>
      <c r="D46" s="68">
        <v>363.89</v>
      </c>
      <c r="E46" s="71">
        <v>2100</v>
      </c>
      <c r="F46" s="68"/>
      <c r="G46" s="71"/>
      <c r="H46" s="68"/>
      <c r="I46" s="71"/>
      <c r="J46" s="67" t="s">
        <v>33</v>
      </c>
      <c r="K46" s="65"/>
    </row>
    <row r="47" spans="1:11" s="67" customFormat="1" x14ac:dyDescent="0.25">
      <c r="A47" s="65" t="s">
        <v>34</v>
      </c>
      <c r="B47" s="66">
        <v>5028615</v>
      </c>
      <c r="C47" s="67" t="s">
        <v>359</v>
      </c>
      <c r="D47" s="68">
        <v>1195.3499999999999</v>
      </c>
      <c r="E47" s="71">
        <v>13200</v>
      </c>
      <c r="F47" s="68"/>
      <c r="G47" s="71"/>
      <c r="H47" s="68"/>
      <c r="I47" s="71"/>
      <c r="J47" s="67" t="s">
        <v>33</v>
      </c>
      <c r="K47" s="65"/>
    </row>
    <row r="48" spans="1:11" s="15" customFormat="1" ht="30" x14ac:dyDescent="0.25">
      <c r="A48" s="16" t="s">
        <v>47</v>
      </c>
      <c r="B48" s="18">
        <v>4914628</v>
      </c>
      <c r="C48" s="15" t="s">
        <v>359</v>
      </c>
      <c r="D48" s="17">
        <v>787.69</v>
      </c>
      <c r="E48" s="64">
        <v>8946</v>
      </c>
      <c r="F48" s="17"/>
      <c r="G48" s="64"/>
      <c r="H48" s="17"/>
      <c r="I48" s="64"/>
      <c r="J48" s="15" t="s">
        <v>33</v>
      </c>
      <c r="K48" s="16"/>
    </row>
    <row r="49" spans="1:11" s="67" customFormat="1" ht="30" x14ac:dyDescent="0.25">
      <c r="A49" s="65" t="s">
        <v>46</v>
      </c>
      <c r="B49" s="66">
        <v>5027654</v>
      </c>
      <c r="C49" s="67" t="s">
        <v>359</v>
      </c>
      <c r="D49" s="68">
        <v>328.96</v>
      </c>
      <c r="E49" s="71">
        <v>3664</v>
      </c>
      <c r="F49" s="68"/>
      <c r="G49" s="71"/>
      <c r="H49" s="68"/>
      <c r="I49" s="71"/>
      <c r="J49" s="67" t="s">
        <v>33</v>
      </c>
      <c r="K49" s="65"/>
    </row>
    <row r="50" spans="1:11" s="15" customFormat="1" ht="30" x14ac:dyDescent="0.25">
      <c r="A50" s="16" t="s">
        <v>48</v>
      </c>
      <c r="B50" s="18">
        <v>5262911</v>
      </c>
      <c r="C50" s="15" t="s">
        <v>359</v>
      </c>
      <c r="D50" s="17">
        <v>16.059999999999999</v>
      </c>
      <c r="E50" s="64">
        <v>70</v>
      </c>
      <c r="F50" s="17"/>
      <c r="G50" s="64"/>
      <c r="H50" s="17"/>
      <c r="I50" s="64"/>
      <c r="J50" s="15" t="s">
        <v>33</v>
      </c>
      <c r="K50" s="16"/>
    </row>
    <row r="51" spans="1:11" s="67" customFormat="1" ht="30" x14ac:dyDescent="0.25">
      <c r="A51" s="65" t="s">
        <v>244</v>
      </c>
      <c r="B51" s="66">
        <v>8184322</v>
      </c>
      <c r="C51" s="67" t="s">
        <v>359</v>
      </c>
      <c r="D51" s="68">
        <v>596.38</v>
      </c>
      <c r="E51" s="71">
        <v>3440</v>
      </c>
      <c r="F51" s="68"/>
      <c r="G51" s="71"/>
      <c r="H51" s="68"/>
      <c r="I51" s="71"/>
      <c r="J51" s="67" t="s">
        <v>33</v>
      </c>
      <c r="K51" s="65"/>
    </row>
    <row r="52" spans="1:11" s="67" customFormat="1" ht="30" x14ac:dyDescent="0.25">
      <c r="A52" s="65" t="s">
        <v>38</v>
      </c>
      <c r="B52" s="66">
        <v>5231911</v>
      </c>
      <c r="C52" s="67" t="s">
        <v>359</v>
      </c>
      <c r="D52" s="68">
        <v>22.59</v>
      </c>
      <c r="E52" s="71">
        <v>150</v>
      </c>
      <c r="F52" s="68"/>
      <c r="G52" s="71"/>
      <c r="H52" s="68"/>
      <c r="I52" s="71"/>
      <c r="J52" s="67" t="s">
        <v>33</v>
      </c>
      <c r="K52" s="65"/>
    </row>
    <row r="53" spans="1:11" s="67" customFormat="1" ht="30" x14ac:dyDescent="0.25">
      <c r="A53" s="65" t="s">
        <v>17</v>
      </c>
      <c r="B53" s="66">
        <v>8934894</v>
      </c>
      <c r="C53" s="67" t="s">
        <v>336</v>
      </c>
      <c r="D53" s="68">
        <v>29.19</v>
      </c>
      <c r="E53" s="71">
        <v>183</v>
      </c>
      <c r="F53" s="68"/>
      <c r="G53" s="71"/>
      <c r="H53" s="68"/>
      <c r="I53" s="71"/>
      <c r="J53" s="67" t="s">
        <v>33</v>
      </c>
      <c r="K53" s="65"/>
    </row>
    <row r="54" spans="1:11" s="67" customFormat="1" ht="30" x14ac:dyDescent="0.25">
      <c r="A54" s="65" t="s">
        <v>240</v>
      </c>
      <c r="B54" s="66">
        <v>5031405</v>
      </c>
      <c r="C54" s="67" t="s">
        <v>359</v>
      </c>
      <c r="D54" s="68">
        <v>1646.41</v>
      </c>
      <c r="E54" s="71">
        <v>19260</v>
      </c>
      <c r="F54" s="68"/>
      <c r="G54" s="71"/>
      <c r="H54" s="68"/>
      <c r="I54" s="71"/>
      <c r="J54" s="67" t="s">
        <v>33</v>
      </c>
      <c r="K54" s="65"/>
    </row>
    <row r="55" spans="1:11" s="15" customFormat="1" ht="30" x14ac:dyDescent="0.25">
      <c r="A55" s="16" t="s">
        <v>26</v>
      </c>
      <c r="B55" s="18">
        <v>149091</v>
      </c>
      <c r="C55" s="15" t="s">
        <v>336</v>
      </c>
      <c r="D55" s="17">
        <v>18.809999999999999</v>
      </c>
      <c r="E55" s="64">
        <v>80</v>
      </c>
      <c r="F55" s="17"/>
      <c r="G55" s="64"/>
      <c r="H55" s="17"/>
      <c r="I55" s="64"/>
      <c r="J55" s="15" t="s">
        <v>33</v>
      </c>
      <c r="K55" s="16"/>
    </row>
    <row r="56" spans="1:11" s="15" customFormat="1" ht="30" x14ac:dyDescent="0.25">
      <c r="A56" s="16" t="s">
        <v>30</v>
      </c>
      <c r="B56" s="18">
        <v>4914473</v>
      </c>
      <c r="C56" s="15" t="s">
        <v>336</v>
      </c>
      <c r="D56" s="17">
        <v>1606.48</v>
      </c>
      <c r="E56" s="64">
        <v>22440</v>
      </c>
      <c r="F56" s="17"/>
      <c r="G56" s="64"/>
      <c r="H56" s="17"/>
      <c r="I56" s="64"/>
      <c r="J56" s="15" t="s">
        <v>33</v>
      </c>
      <c r="K56" s="16"/>
    </row>
    <row r="57" spans="1:11" s="67" customFormat="1" ht="30" x14ac:dyDescent="0.25">
      <c r="A57" s="65" t="s">
        <v>244</v>
      </c>
      <c r="B57" s="66">
        <v>117936</v>
      </c>
      <c r="C57" s="67" t="s">
        <v>336</v>
      </c>
      <c r="D57" s="68">
        <v>135.87</v>
      </c>
      <c r="E57" s="71">
        <v>440</v>
      </c>
      <c r="F57" s="68"/>
      <c r="G57" s="71"/>
      <c r="H57" s="68"/>
      <c r="I57" s="71"/>
      <c r="J57" s="67" t="s">
        <v>33</v>
      </c>
      <c r="K57" s="65"/>
    </row>
    <row r="58" spans="1:11" s="67" customFormat="1" ht="60" x14ac:dyDescent="0.25">
      <c r="A58" s="65" t="s">
        <v>153</v>
      </c>
      <c r="B58" s="66">
        <v>8327232</v>
      </c>
      <c r="C58" s="67" t="s">
        <v>350</v>
      </c>
      <c r="D58" s="68">
        <v>72.16</v>
      </c>
      <c r="E58" s="71">
        <v>61</v>
      </c>
      <c r="F58" s="68"/>
      <c r="G58" s="71"/>
      <c r="H58" s="68"/>
      <c r="I58" s="71"/>
      <c r="J58" s="67" t="s">
        <v>33</v>
      </c>
      <c r="K58" s="65"/>
    </row>
    <row r="59" spans="1:11" s="67" customFormat="1" ht="30" x14ac:dyDescent="0.25">
      <c r="A59" s="65" t="s">
        <v>255</v>
      </c>
      <c r="B59" s="66">
        <v>6973803</v>
      </c>
      <c r="C59" s="67" t="s">
        <v>350</v>
      </c>
      <c r="D59" s="68">
        <v>14.6</v>
      </c>
      <c r="E59" s="71">
        <v>0</v>
      </c>
      <c r="F59" s="68"/>
      <c r="G59" s="71"/>
      <c r="H59" s="68"/>
      <c r="I59" s="71"/>
      <c r="J59" s="67" t="s">
        <v>33</v>
      </c>
      <c r="K59" s="65"/>
    </row>
    <row r="60" spans="1:11" s="67" customFormat="1" ht="30" x14ac:dyDescent="0.25">
      <c r="A60" s="65" t="s">
        <v>150</v>
      </c>
      <c r="B60" s="66">
        <v>7480591</v>
      </c>
      <c r="C60" s="67" t="s">
        <v>350</v>
      </c>
      <c r="D60" s="68">
        <v>1178.9100000000001</v>
      </c>
      <c r="E60" s="71">
        <v>15275</v>
      </c>
      <c r="F60" s="68"/>
      <c r="G60" s="71"/>
      <c r="H60" s="68"/>
      <c r="I60" s="71"/>
      <c r="J60" s="67" t="s">
        <v>33</v>
      </c>
      <c r="K60" s="65"/>
    </row>
    <row r="61" spans="1:11" s="67" customFormat="1" ht="30" x14ac:dyDescent="0.25">
      <c r="A61" s="65" t="s">
        <v>253</v>
      </c>
      <c r="B61" s="66">
        <v>4934809</v>
      </c>
      <c r="C61" s="67" t="s">
        <v>350</v>
      </c>
      <c r="D61" s="68">
        <v>86.57</v>
      </c>
      <c r="E61" s="71">
        <v>900</v>
      </c>
      <c r="F61" s="68"/>
      <c r="G61" s="71"/>
      <c r="H61" s="68"/>
      <c r="I61" s="71"/>
      <c r="J61" s="67" t="s">
        <v>33</v>
      </c>
      <c r="K61" s="65"/>
    </row>
    <row r="62" spans="1:11" s="67" customFormat="1" ht="30" x14ac:dyDescent="0.25">
      <c r="A62" s="65" t="s">
        <v>152</v>
      </c>
      <c r="B62" s="66">
        <v>9498071</v>
      </c>
      <c r="C62" s="67" t="s">
        <v>350</v>
      </c>
      <c r="D62" s="68">
        <v>513.05999999999995</v>
      </c>
      <c r="E62" s="71">
        <v>5120</v>
      </c>
      <c r="F62" s="68"/>
      <c r="G62" s="71"/>
      <c r="H62" s="68"/>
      <c r="I62" s="71"/>
      <c r="J62" s="67" t="s">
        <v>33</v>
      </c>
      <c r="K62" s="65"/>
    </row>
    <row r="63" spans="1:11" s="15" customFormat="1" ht="30" x14ac:dyDescent="0.25">
      <c r="A63" s="16" t="s">
        <v>245</v>
      </c>
      <c r="B63" s="18">
        <v>4962800</v>
      </c>
      <c r="C63" s="15" t="s">
        <v>350</v>
      </c>
      <c r="D63" s="17">
        <v>27.25</v>
      </c>
      <c r="E63" s="64">
        <v>160</v>
      </c>
      <c r="F63" s="17"/>
      <c r="G63" s="64"/>
      <c r="H63" s="17"/>
      <c r="I63" s="64"/>
      <c r="J63" s="15" t="s">
        <v>33</v>
      </c>
      <c r="K63" s="16"/>
    </row>
    <row r="64" spans="1:11" s="67" customFormat="1" ht="30" x14ac:dyDescent="0.25">
      <c r="A64" s="65" t="s">
        <v>151</v>
      </c>
      <c r="B64" s="66">
        <v>710315</v>
      </c>
      <c r="C64" s="67" t="s">
        <v>350</v>
      </c>
      <c r="D64" s="68">
        <v>14.6</v>
      </c>
      <c r="E64" s="71">
        <v>0</v>
      </c>
      <c r="F64" s="68"/>
      <c r="G64" s="71"/>
      <c r="H64" s="68"/>
      <c r="I64" s="71"/>
      <c r="J64" s="67" t="s">
        <v>33</v>
      </c>
      <c r="K64" s="65"/>
    </row>
    <row r="65" spans="1:11" s="67" customFormat="1" ht="30" x14ac:dyDescent="0.25">
      <c r="A65" s="65" t="s">
        <v>24</v>
      </c>
      <c r="B65" s="66">
        <v>4892432</v>
      </c>
      <c r="C65" s="67" t="s">
        <v>347</v>
      </c>
      <c r="D65" s="68">
        <v>88.4</v>
      </c>
      <c r="E65" s="71">
        <v>327</v>
      </c>
      <c r="F65" s="68"/>
      <c r="G65" s="71"/>
      <c r="H65" s="68"/>
      <c r="I65" s="71"/>
      <c r="J65" s="67" t="s">
        <v>33</v>
      </c>
      <c r="K65" s="65"/>
    </row>
    <row r="66" spans="1:11" s="67" customFormat="1" ht="30" x14ac:dyDescent="0.25">
      <c r="A66" s="65" t="s">
        <v>21</v>
      </c>
      <c r="B66" s="66">
        <v>4968878</v>
      </c>
      <c r="C66" s="67" t="s">
        <v>347</v>
      </c>
      <c r="D66" s="68">
        <v>79.209999999999994</v>
      </c>
      <c r="E66" s="71">
        <v>809</v>
      </c>
      <c r="F66" s="68"/>
      <c r="G66" s="71"/>
      <c r="H66" s="68"/>
      <c r="I66" s="71"/>
      <c r="J66" s="67" t="s">
        <v>33</v>
      </c>
      <c r="K66" s="65"/>
    </row>
    <row r="67" spans="1:11" s="67" customFormat="1" ht="30" x14ac:dyDescent="0.25">
      <c r="A67" s="65" t="s">
        <v>31</v>
      </c>
      <c r="B67" s="66">
        <v>5041139</v>
      </c>
      <c r="C67" s="67" t="s">
        <v>347</v>
      </c>
      <c r="D67" s="68">
        <v>137.04</v>
      </c>
      <c r="E67" s="71">
        <v>1533</v>
      </c>
      <c r="F67" s="68"/>
      <c r="G67" s="71"/>
      <c r="H67" s="68"/>
      <c r="I67" s="71"/>
      <c r="J67" s="67" t="s">
        <v>33</v>
      </c>
      <c r="K67" s="65"/>
    </row>
    <row r="68" spans="1:11" s="67" customFormat="1" ht="30" x14ac:dyDescent="0.25">
      <c r="A68" s="65" t="s">
        <v>256</v>
      </c>
      <c r="B68" s="66">
        <v>5276024</v>
      </c>
      <c r="C68" s="67" t="s">
        <v>347</v>
      </c>
      <c r="D68" s="68">
        <v>22.6</v>
      </c>
      <c r="E68" s="71">
        <v>150</v>
      </c>
      <c r="F68" s="68"/>
      <c r="G68" s="71"/>
      <c r="H68" s="68"/>
      <c r="I68" s="71"/>
      <c r="J68" s="67" t="s">
        <v>33</v>
      </c>
      <c r="K68" s="65"/>
    </row>
    <row r="69" spans="1:11" s="67" customFormat="1" x14ac:dyDescent="0.25">
      <c r="A69" s="65" t="s">
        <v>250</v>
      </c>
      <c r="B69" s="79">
        <v>7391</v>
      </c>
      <c r="C69" s="67" t="s">
        <v>351</v>
      </c>
      <c r="D69" s="68">
        <v>18.28</v>
      </c>
      <c r="E69" s="71">
        <v>46</v>
      </c>
      <c r="F69" s="68"/>
      <c r="G69" s="71"/>
      <c r="H69" s="68"/>
      <c r="I69" s="71"/>
      <c r="J69" s="67" t="s">
        <v>33</v>
      </c>
      <c r="K69" s="65"/>
    </row>
    <row r="70" spans="1:11" s="67" customFormat="1" x14ac:dyDescent="0.25">
      <c r="A70" s="65" t="s">
        <v>250</v>
      </c>
      <c r="B70" s="79">
        <v>7422</v>
      </c>
      <c r="C70" s="67" t="s">
        <v>351</v>
      </c>
      <c r="D70" s="68">
        <v>14.6</v>
      </c>
      <c r="E70" s="71">
        <v>0</v>
      </c>
      <c r="F70" s="68"/>
      <c r="G70" s="71"/>
      <c r="H70" s="68"/>
      <c r="I70" s="71"/>
      <c r="J70" s="67" t="s">
        <v>33</v>
      </c>
      <c r="K70" s="65"/>
    </row>
    <row r="71" spans="1:11" ht="45" x14ac:dyDescent="0.25">
      <c r="A71" s="20" t="s">
        <v>49</v>
      </c>
      <c r="B71" s="21"/>
      <c r="D71" s="7"/>
      <c r="F71" s="7"/>
      <c r="H71" s="7"/>
      <c r="K71" s="13"/>
    </row>
    <row r="72" spans="1:11" s="67" customFormat="1" ht="60" x14ac:dyDescent="0.25">
      <c r="A72" s="65" t="s">
        <v>51</v>
      </c>
      <c r="B72" s="66" t="s">
        <v>208</v>
      </c>
      <c r="C72" s="72" t="s">
        <v>344</v>
      </c>
      <c r="D72" s="68">
        <v>432</v>
      </c>
      <c r="E72" s="71">
        <v>4577</v>
      </c>
      <c r="F72" s="68"/>
      <c r="G72" s="71"/>
      <c r="H72" s="68"/>
      <c r="I72" s="71"/>
      <c r="J72" s="67" t="s">
        <v>33</v>
      </c>
      <c r="K72" s="65"/>
    </row>
    <row r="73" spans="1:11" s="67" customFormat="1" ht="60" x14ac:dyDescent="0.25">
      <c r="A73" s="65" t="s">
        <v>52</v>
      </c>
      <c r="B73" s="66" t="s">
        <v>209</v>
      </c>
      <c r="C73" s="67" t="s">
        <v>344</v>
      </c>
      <c r="D73" s="68">
        <v>131</v>
      </c>
      <c r="E73" s="71">
        <v>1109</v>
      </c>
      <c r="F73" s="68"/>
      <c r="G73" s="71"/>
      <c r="H73" s="68"/>
      <c r="I73" s="71"/>
      <c r="J73" s="67" t="s">
        <v>33</v>
      </c>
      <c r="K73" s="65"/>
    </row>
    <row r="74" spans="1:11" s="67" customFormat="1" ht="75" x14ac:dyDescent="0.25">
      <c r="A74" s="65" t="s">
        <v>54</v>
      </c>
      <c r="B74" s="66" t="s">
        <v>210</v>
      </c>
      <c r="C74" s="67" t="s">
        <v>344</v>
      </c>
      <c r="D74" s="68">
        <v>61</v>
      </c>
      <c r="E74" s="71">
        <v>334</v>
      </c>
      <c r="F74" s="68"/>
      <c r="G74" s="71"/>
      <c r="H74" s="68"/>
      <c r="I74" s="71"/>
      <c r="J74" s="67" t="s">
        <v>33</v>
      </c>
      <c r="K74" s="65"/>
    </row>
    <row r="75" spans="1:11" s="67" customFormat="1" ht="45" x14ac:dyDescent="0.25">
      <c r="A75" s="65" t="s">
        <v>55</v>
      </c>
      <c r="B75" s="66" t="s">
        <v>212</v>
      </c>
      <c r="C75" s="67" t="s">
        <v>344</v>
      </c>
      <c r="D75" s="68">
        <v>28</v>
      </c>
      <c r="E75" s="71">
        <v>103</v>
      </c>
      <c r="F75" s="68"/>
      <c r="G75" s="71"/>
      <c r="H75" s="68"/>
      <c r="I75" s="71"/>
      <c r="J75" s="67" t="s">
        <v>33</v>
      </c>
      <c r="K75" s="65"/>
    </row>
    <row r="76" spans="1:11" s="67" customFormat="1" ht="45" x14ac:dyDescent="0.25">
      <c r="A76" s="65" t="s">
        <v>56</v>
      </c>
      <c r="B76" s="66" t="s">
        <v>213</v>
      </c>
      <c r="C76" s="67" t="s">
        <v>344</v>
      </c>
      <c r="D76" s="68">
        <v>26</v>
      </c>
      <c r="E76" s="71">
        <v>73</v>
      </c>
      <c r="F76" s="68"/>
      <c r="G76" s="71"/>
      <c r="H76" s="68"/>
      <c r="I76" s="71"/>
      <c r="J76" s="67" t="s">
        <v>33</v>
      </c>
      <c r="K76" s="65"/>
    </row>
    <row r="77" spans="1:11" s="67" customFormat="1" ht="45" x14ac:dyDescent="0.25">
      <c r="A77" s="65" t="s">
        <v>57</v>
      </c>
      <c r="B77" s="66" t="s">
        <v>214</v>
      </c>
      <c r="C77" s="67" t="s">
        <v>344</v>
      </c>
      <c r="D77" s="68">
        <v>233</v>
      </c>
      <c r="E77" s="71">
        <v>2250</v>
      </c>
      <c r="F77" s="68"/>
      <c r="G77" s="71"/>
      <c r="H77" s="68"/>
      <c r="I77" s="71"/>
      <c r="J77" s="67" t="s">
        <v>33</v>
      </c>
      <c r="K77" s="65"/>
    </row>
    <row r="78" spans="1:11" s="67" customFormat="1" ht="45" x14ac:dyDescent="0.25">
      <c r="A78" s="65" t="s">
        <v>58</v>
      </c>
      <c r="B78" s="66" t="s">
        <v>215</v>
      </c>
      <c r="C78" s="67" t="s">
        <v>344</v>
      </c>
      <c r="D78" s="68">
        <v>149</v>
      </c>
      <c r="E78" s="71">
        <v>1437</v>
      </c>
      <c r="F78" s="68"/>
      <c r="G78" s="71"/>
      <c r="H78" s="68"/>
      <c r="I78" s="71"/>
      <c r="J78" s="67" t="s">
        <v>33</v>
      </c>
      <c r="K78" s="65"/>
    </row>
    <row r="79" spans="1:11" s="67" customFormat="1" ht="45" x14ac:dyDescent="0.25">
      <c r="A79" s="65" t="s">
        <v>59</v>
      </c>
      <c r="B79" s="66" t="s">
        <v>216</v>
      </c>
      <c r="C79" s="67" t="s">
        <v>344</v>
      </c>
      <c r="D79" s="68">
        <v>276</v>
      </c>
      <c r="E79" s="71">
        <v>44</v>
      </c>
      <c r="F79" s="68"/>
      <c r="G79" s="71"/>
      <c r="H79" s="68"/>
      <c r="I79" s="71"/>
      <c r="J79" s="67" t="s">
        <v>33</v>
      </c>
      <c r="K79" s="65"/>
    </row>
    <row r="80" spans="1:11" s="67" customFormat="1" ht="45" x14ac:dyDescent="0.25">
      <c r="A80" s="65" t="s">
        <v>60</v>
      </c>
      <c r="B80" s="66" t="s">
        <v>217</v>
      </c>
      <c r="C80" s="67" t="s">
        <v>344</v>
      </c>
      <c r="D80" s="68">
        <v>39</v>
      </c>
      <c r="E80" s="71">
        <v>276</v>
      </c>
      <c r="F80" s="68"/>
      <c r="G80" s="71"/>
      <c r="H80" s="68"/>
      <c r="I80" s="71"/>
      <c r="J80" s="67" t="s">
        <v>33</v>
      </c>
      <c r="K80" s="65"/>
    </row>
    <row r="81" spans="1:11" s="67" customFormat="1" ht="30" x14ac:dyDescent="0.25">
      <c r="A81" s="65" t="s">
        <v>61</v>
      </c>
      <c r="B81" s="66" t="s">
        <v>218</v>
      </c>
      <c r="C81" s="67" t="s">
        <v>344</v>
      </c>
      <c r="D81" s="68">
        <v>19</v>
      </c>
      <c r="E81" s="71">
        <v>0</v>
      </c>
      <c r="F81" s="68"/>
      <c r="G81" s="71"/>
      <c r="H81" s="68"/>
      <c r="I81" s="71"/>
      <c r="J81" s="67" t="s">
        <v>33</v>
      </c>
      <c r="K81" s="65"/>
    </row>
    <row r="82" spans="1:11" s="67" customFormat="1" ht="45" x14ac:dyDescent="0.25">
      <c r="A82" s="65" t="s">
        <v>62</v>
      </c>
      <c r="B82" s="66" t="s">
        <v>219</v>
      </c>
      <c r="C82" s="67" t="s">
        <v>344</v>
      </c>
      <c r="D82" s="68">
        <v>19</v>
      </c>
      <c r="E82" s="71">
        <v>3</v>
      </c>
      <c r="F82" s="68"/>
      <c r="G82" s="71"/>
      <c r="H82" s="68"/>
      <c r="I82" s="71"/>
      <c r="J82" s="67" t="s">
        <v>33</v>
      </c>
      <c r="K82" s="65"/>
    </row>
    <row r="83" spans="1:11" s="67" customFormat="1" ht="30" x14ac:dyDescent="0.25">
      <c r="A83" s="65" t="s">
        <v>94</v>
      </c>
      <c r="B83" s="66" t="s">
        <v>201</v>
      </c>
      <c r="C83" s="67" t="s">
        <v>344</v>
      </c>
      <c r="D83" s="68">
        <v>37</v>
      </c>
      <c r="E83" s="71">
        <v>0</v>
      </c>
      <c r="F83" s="68"/>
      <c r="G83" s="71"/>
      <c r="H83" s="68"/>
      <c r="I83" s="71"/>
      <c r="J83" s="67" t="s">
        <v>33</v>
      </c>
      <c r="K83" s="65"/>
    </row>
    <row r="84" spans="1:11" s="67" customFormat="1" ht="30" x14ac:dyDescent="0.25">
      <c r="A84" s="65" t="s">
        <v>95</v>
      </c>
      <c r="B84" s="66" t="s">
        <v>202</v>
      </c>
      <c r="C84" s="67" t="s">
        <v>344</v>
      </c>
      <c r="D84" s="68">
        <v>1576</v>
      </c>
      <c r="E84" s="71">
        <v>17280</v>
      </c>
      <c r="F84" s="68"/>
      <c r="G84" s="71"/>
      <c r="H84" s="68"/>
      <c r="I84" s="71"/>
      <c r="J84" s="67" t="s">
        <v>33</v>
      </c>
      <c r="K84" s="65"/>
    </row>
    <row r="85" spans="1:11" s="67" customFormat="1" ht="30" x14ac:dyDescent="0.25">
      <c r="A85" s="65" t="s">
        <v>96</v>
      </c>
      <c r="B85" s="66" t="s">
        <v>203</v>
      </c>
      <c r="C85" s="67" t="s">
        <v>344</v>
      </c>
      <c r="D85" s="68">
        <v>183</v>
      </c>
      <c r="E85" s="71">
        <v>1718</v>
      </c>
      <c r="F85" s="68"/>
      <c r="G85" s="71"/>
      <c r="H85" s="68"/>
      <c r="I85" s="71"/>
      <c r="J85" s="67" t="s">
        <v>33</v>
      </c>
      <c r="K85" s="65"/>
    </row>
    <row r="86" spans="1:11" s="67" customFormat="1" ht="45" x14ac:dyDescent="0.25">
      <c r="A86" s="65" t="s">
        <v>97</v>
      </c>
      <c r="B86" s="66" t="s">
        <v>204</v>
      </c>
      <c r="C86" s="67" t="s">
        <v>344</v>
      </c>
      <c r="D86" s="68">
        <v>37</v>
      </c>
      <c r="E86" s="71">
        <v>7</v>
      </c>
      <c r="F86" s="68"/>
      <c r="G86" s="71"/>
      <c r="H86" s="68"/>
      <c r="I86" s="71"/>
      <c r="J86" s="67" t="s">
        <v>33</v>
      </c>
      <c r="K86" s="65"/>
    </row>
    <row r="87" spans="1:11" s="67" customFormat="1" ht="30" x14ac:dyDescent="0.25">
      <c r="A87" s="65" t="s">
        <v>98</v>
      </c>
      <c r="B87" s="66" t="s">
        <v>205</v>
      </c>
      <c r="C87" s="67" t="s">
        <v>344</v>
      </c>
      <c r="D87" s="68">
        <v>19</v>
      </c>
      <c r="E87" s="71">
        <v>0</v>
      </c>
      <c r="F87" s="68"/>
      <c r="G87" s="71"/>
      <c r="H87" s="68"/>
      <c r="I87" s="71"/>
      <c r="J87" s="67" t="s">
        <v>33</v>
      </c>
      <c r="K87" s="65"/>
    </row>
    <row r="88" spans="1:11" s="67" customFormat="1" ht="30" x14ac:dyDescent="0.25">
      <c r="A88" s="65" t="s">
        <v>99</v>
      </c>
      <c r="B88" s="66" t="s">
        <v>206</v>
      </c>
      <c r="C88" s="67" t="s">
        <v>344</v>
      </c>
      <c r="D88" s="68">
        <v>29</v>
      </c>
      <c r="E88" s="71">
        <v>20</v>
      </c>
      <c r="F88" s="68"/>
      <c r="G88" s="71"/>
      <c r="H88" s="68"/>
      <c r="I88" s="71"/>
      <c r="J88" s="67" t="s">
        <v>33</v>
      </c>
      <c r="K88" s="65"/>
    </row>
    <row r="89" spans="1:11" s="67" customFormat="1" ht="30" x14ac:dyDescent="0.25">
      <c r="A89" s="65" t="s">
        <v>100</v>
      </c>
      <c r="B89" s="73">
        <v>1323346600</v>
      </c>
      <c r="C89" s="67" t="s">
        <v>344</v>
      </c>
      <c r="D89" s="68">
        <v>431</v>
      </c>
      <c r="E89" s="71">
        <v>4200</v>
      </c>
      <c r="F89" s="68"/>
      <c r="G89" s="71"/>
      <c r="H89" s="68"/>
      <c r="I89" s="71"/>
      <c r="J89" s="67" t="s">
        <v>33</v>
      </c>
      <c r="K89" s="65"/>
    </row>
    <row r="90" spans="1:11" s="67" customFormat="1" ht="30" x14ac:dyDescent="0.25">
      <c r="A90" s="65" t="s">
        <v>101</v>
      </c>
      <c r="B90" s="73">
        <v>1322699400</v>
      </c>
      <c r="C90" s="67" t="s">
        <v>344</v>
      </c>
      <c r="D90" s="68">
        <v>709</v>
      </c>
      <c r="E90" s="71">
        <v>2160</v>
      </c>
      <c r="F90" s="68"/>
      <c r="G90" s="71"/>
      <c r="H90" s="68"/>
      <c r="I90" s="71"/>
      <c r="J90" s="67" t="s">
        <v>33</v>
      </c>
      <c r="K90" s="65"/>
    </row>
    <row r="91" spans="1:11" s="67" customFormat="1" ht="30" x14ac:dyDescent="0.25">
      <c r="A91" s="65" t="s">
        <v>102</v>
      </c>
      <c r="B91" s="66" t="s">
        <v>200</v>
      </c>
      <c r="C91" s="67" t="s">
        <v>344</v>
      </c>
      <c r="D91" s="68">
        <v>413</v>
      </c>
      <c r="E91" s="71">
        <v>2380</v>
      </c>
      <c r="F91" s="68"/>
      <c r="G91" s="71"/>
      <c r="H91" s="68"/>
      <c r="I91" s="71"/>
      <c r="J91" s="67" t="s">
        <v>33</v>
      </c>
      <c r="K91" s="65"/>
    </row>
    <row r="92" spans="1:11" s="67" customFormat="1" ht="30" x14ac:dyDescent="0.25">
      <c r="A92" s="65" t="s">
        <v>110</v>
      </c>
      <c r="B92" s="66" t="s">
        <v>207</v>
      </c>
      <c r="C92" s="67" t="s">
        <v>344</v>
      </c>
      <c r="D92" s="68">
        <v>104</v>
      </c>
      <c r="E92" s="71">
        <v>452</v>
      </c>
      <c r="F92" s="68"/>
      <c r="G92" s="71"/>
      <c r="H92" s="68"/>
      <c r="I92" s="71"/>
      <c r="J92" s="67" t="s">
        <v>33</v>
      </c>
      <c r="K92" s="65"/>
    </row>
    <row r="93" spans="1:11" s="67" customFormat="1" ht="30" x14ac:dyDescent="0.25">
      <c r="A93" s="65" t="s">
        <v>111</v>
      </c>
      <c r="B93" s="66" t="s">
        <v>222</v>
      </c>
      <c r="C93" s="67" t="s">
        <v>344</v>
      </c>
      <c r="D93" s="68">
        <v>30</v>
      </c>
      <c r="E93" s="71">
        <v>0</v>
      </c>
      <c r="F93" s="68"/>
      <c r="G93" s="71"/>
      <c r="H93" s="68"/>
      <c r="I93" s="71"/>
      <c r="J93" s="67" t="s">
        <v>33</v>
      </c>
      <c r="K93" s="65"/>
    </row>
    <row r="94" spans="1:11" s="67" customFormat="1" ht="30" x14ac:dyDescent="0.25">
      <c r="A94" s="65" t="s">
        <v>117</v>
      </c>
      <c r="B94" s="66" t="s">
        <v>220</v>
      </c>
      <c r="C94" s="67" t="s">
        <v>344</v>
      </c>
      <c r="D94" s="68">
        <v>88</v>
      </c>
      <c r="E94" s="71">
        <v>594</v>
      </c>
      <c r="F94" s="68"/>
      <c r="G94" s="71"/>
      <c r="H94" s="68"/>
      <c r="I94" s="71"/>
      <c r="J94" s="67" t="s">
        <v>33</v>
      </c>
      <c r="K94" s="65"/>
    </row>
    <row r="95" spans="1:11" s="67" customFormat="1" ht="30" x14ac:dyDescent="0.25">
      <c r="A95" s="65" t="s">
        <v>118</v>
      </c>
      <c r="B95" s="66" t="s">
        <v>221</v>
      </c>
      <c r="C95" s="67" t="s">
        <v>344</v>
      </c>
      <c r="D95" s="68">
        <v>99</v>
      </c>
      <c r="E95" s="71">
        <v>885</v>
      </c>
      <c r="F95" s="68"/>
      <c r="G95" s="71"/>
      <c r="H95" s="68"/>
      <c r="I95" s="71"/>
      <c r="J95" s="67" t="s">
        <v>33</v>
      </c>
      <c r="K95" s="65"/>
    </row>
    <row r="96" spans="1:11" x14ac:dyDescent="0.25">
      <c r="A96" s="20" t="s">
        <v>70</v>
      </c>
      <c r="B96" s="21"/>
      <c r="D96" s="7"/>
      <c r="F96" s="7"/>
      <c r="H96" s="7"/>
      <c r="K96" s="13"/>
    </row>
    <row r="97" spans="1:12" s="67" customFormat="1" ht="30" x14ac:dyDescent="0.25">
      <c r="A97" s="65" t="s">
        <v>65</v>
      </c>
      <c r="B97" s="66" t="s">
        <v>163</v>
      </c>
      <c r="C97" s="67" t="s">
        <v>345</v>
      </c>
      <c r="D97" s="68"/>
      <c r="E97" s="71"/>
      <c r="F97" s="68"/>
      <c r="G97" s="71"/>
      <c r="H97" s="68">
        <v>326.29000000000002</v>
      </c>
      <c r="I97" s="71">
        <v>393</v>
      </c>
      <c r="K97" s="65"/>
    </row>
    <row r="98" spans="1:12" s="67" customFormat="1" x14ac:dyDescent="0.25">
      <c r="A98" s="65" t="s">
        <v>37</v>
      </c>
      <c r="B98" s="66" t="s">
        <v>190</v>
      </c>
      <c r="C98" s="67" t="s">
        <v>345</v>
      </c>
      <c r="D98" s="68"/>
      <c r="E98" s="71"/>
      <c r="F98" s="68"/>
      <c r="G98" s="71"/>
      <c r="H98" s="68">
        <v>275.89999999999998</v>
      </c>
      <c r="I98" s="71">
        <v>370</v>
      </c>
      <c r="K98" s="65"/>
    </row>
    <row r="99" spans="1:12" s="67" customFormat="1" ht="30" x14ac:dyDescent="0.25">
      <c r="A99" s="65" t="s">
        <v>71</v>
      </c>
      <c r="B99" s="66" t="s">
        <v>188</v>
      </c>
      <c r="C99" s="67" t="s">
        <v>345</v>
      </c>
      <c r="D99" s="68"/>
      <c r="E99" s="71"/>
      <c r="F99" s="68"/>
      <c r="G99" s="71"/>
      <c r="H99" s="68">
        <v>65.849999999999994</v>
      </c>
      <c r="I99" s="71">
        <v>56</v>
      </c>
      <c r="K99" s="65"/>
    </row>
    <row r="100" spans="1:12" s="67" customFormat="1" ht="30" x14ac:dyDescent="0.25">
      <c r="A100" s="65" t="s">
        <v>72</v>
      </c>
      <c r="B100" s="66" t="s">
        <v>187</v>
      </c>
      <c r="C100" s="67" t="s">
        <v>345</v>
      </c>
      <c r="D100" s="68"/>
      <c r="E100" s="71"/>
      <c r="F100" s="68"/>
      <c r="G100" s="71"/>
      <c r="H100" s="68">
        <v>53.09</v>
      </c>
      <c r="I100" s="71">
        <v>38</v>
      </c>
      <c r="K100" s="65"/>
    </row>
    <row r="101" spans="1:12" s="67" customFormat="1" ht="30" x14ac:dyDescent="0.25">
      <c r="A101" s="65" t="s">
        <v>73</v>
      </c>
      <c r="B101" s="66" t="s">
        <v>171</v>
      </c>
      <c r="C101" s="67" t="s">
        <v>345</v>
      </c>
      <c r="D101" s="68"/>
      <c r="E101" s="71"/>
      <c r="F101" s="68"/>
      <c r="G101" s="71"/>
      <c r="H101" s="68">
        <v>89.85</v>
      </c>
      <c r="I101" s="71">
        <v>103</v>
      </c>
      <c r="K101" s="65"/>
    </row>
    <row r="102" spans="1:12" s="67" customFormat="1" ht="30" x14ac:dyDescent="0.25">
      <c r="A102" s="65" t="s">
        <v>74</v>
      </c>
      <c r="B102" s="66" t="s">
        <v>170</v>
      </c>
      <c r="C102" s="67" t="s">
        <v>345</v>
      </c>
      <c r="D102" s="68"/>
      <c r="E102" s="71"/>
      <c r="F102" s="68"/>
      <c r="G102" s="71"/>
      <c r="H102" s="68">
        <v>43.48</v>
      </c>
      <c r="I102" s="71">
        <v>4</v>
      </c>
      <c r="K102" s="65"/>
    </row>
    <row r="103" spans="1:12" s="67" customFormat="1" ht="30" x14ac:dyDescent="0.25">
      <c r="A103" s="65" t="s">
        <v>75</v>
      </c>
      <c r="B103" s="66" t="s">
        <v>189</v>
      </c>
      <c r="C103" s="67" t="s">
        <v>345</v>
      </c>
      <c r="D103" s="68"/>
      <c r="E103" s="71"/>
      <c r="F103" s="68"/>
      <c r="G103" s="71"/>
      <c r="H103" s="68">
        <v>283.39</v>
      </c>
      <c r="I103" s="71">
        <v>121</v>
      </c>
      <c r="K103" s="65"/>
    </row>
    <row r="104" spans="1:12" s="67" customFormat="1" ht="30" x14ac:dyDescent="0.25">
      <c r="A104" s="65" t="s">
        <v>76</v>
      </c>
      <c r="B104" s="66" t="s">
        <v>169</v>
      </c>
      <c r="C104" s="67" t="s">
        <v>345</v>
      </c>
      <c r="D104" s="68"/>
      <c r="E104" s="71"/>
      <c r="F104" s="68"/>
      <c r="G104" s="71"/>
      <c r="H104" s="68">
        <v>28.16</v>
      </c>
      <c r="I104" s="71">
        <v>0</v>
      </c>
      <c r="K104" s="65"/>
    </row>
    <row r="105" spans="1:12" s="67" customFormat="1" ht="33" customHeight="1" x14ac:dyDescent="0.25">
      <c r="A105" s="65" t="s">
        <v>77</v>
      </c>
      <c r="B105" s="66" t="s">
        <v>168</v>
      </c>
      <c r="C105" s="67" t="s">
        <v>345</v>
      </c>
      <c r="D105" s="68"/>
      <c r="E105" s="71"/>
      <c r="F105" s="68"/>
      <c r="G105" s="71"/>
      <c r="H105" s="68">
        <v>204.99</v>
      </c>
      <c r="I105" s="71">
        <v>302</v>
      </c>
      <c r="K105" s="65"/>
    </row>
    <row r="106" spans="1:12" s="67" customFormat="1" ht="30" x14ac:dyDescent="0.25">
      <c r="A106" s="65" t="s">
        <v>78</v>
      </c>
      <c r="B106" s="66" t="s">
        <v>197</v>
      </c>
      <c r="C106" s="67" t="s">
        <v>345</v>
      </c>
      <c r="D106" s="68"/>
      <c r="E106" s="71"/>
      <c r="F106" s="68"/>
      <c r="G106" s="71"/>
      <c r="H106" s="68">
        <v>71.569999999999993</v>
      </c>
      <c r="I106" s="71">
        <v>8</v>
      </c>
      <c r="K106" s="65"/>
    </row>
    <row r="107" spans="1:12" s="67" customFormat="1" ht="30" x14ac:dyDescent="0.25">
      <c r="A107" s="65" t="s">
        <v>79</v>
      </c>
      <c r="B107" s="66" t="s">
        <v>167</v>
      </c>
      <c r="C107" s="67" t="s">
        <v>345</v>
      </c>
      <c r="D107" s="68"/>
      <c r="E107" s="71"/>
      <c r="F107" s="68"/>
      <c r="G107" s="71"/>
      <c r="H107" s="68">
        <v>43.48</v>
      </c>
      <c r="I107" s="71">
        <v>0</v>
      </c>
      <c r="K107" s="65"/>
    </row>
    <row r="108" spans="1:12" s="86" customFormat="1" ht="30" x14ac:dyDescent="0.25">
      <c r="A108" s="84" t="s">
        <v>80</v>
      </c>
      <c r="B108" s="85" t="s">
        <v>177</v>
      </c>
      <c r="C108" s="86" t="s">
        <v>345</v>
      </c>
      <c r="D108" s="87"/>
      <c r="E108" s="88"/>
      <c r="F108" s="87"/>
      <c r="G108" s="88"/>
      <c r="H108" s="87">
        <v>28.16</v>
      </c>
      <c r="I108" s="88">
        <v>0</v>
      </c>
      <c r="K108" s="84" t="s">
        <v>315</v>
      </c>
      <c r="L108" s="86" t="s">
        <v>280</v>
      </c>
    </row>
    <row r="109" spans="1:12" s="67" customFormat="1" ht="30" x14ac:dyDescent="0.25">
      <c r="A109" s="65" t="s">
        <v>81</v>
      </c>
      <c r="B109" s="66" t="s">
        <v>180</v>
      </c>
      <c r="C109" s="67" t="s">
        <v>345</v>
      </c>
      <c r="D109" s="68"/>
      <c r="E109" s="71"/>
      <c r="F109" s="68"/>
      <c r="G109" s="71"/>
      <c r="H109" s="68">
        <v>28.16</v>
      </c>
      <c r="I109" s="71">
        <v>0</v>
      </c>
      <c r="K109" s="65"/>
    </row>
    <row r="110" spans="1:12" s="67" customFormat="1" ht="30" x14ac:dyDescent="0.25">
      <c r="A110" s="65" t="s">
        <v>82</v>
      </c>
      <c r="B110" s="66" t="s">
        <v>179</v>
      </c>
      <c r="C110" s="67" t="s">
        <v>345</v>
      </c>
      <c r="D110" s="68"/>
      <c r="E110" s="71"/>
      <c r="F110" s="68"/>
      <c r="G110" s="71"/>
      <c r="H110" s="68">
        <v>43.48</v>
      </c>
      <c r="I110" s="71">
        <v>3</v>
      </c>
      <c r="K110" s="65"/>
    </row>
    <row r="111" spans="1:12" s="67" customFormat="1" ht="30" x14ac:dyDescent="0.25">
      <c r="A111" s="65" t="s">
        <v>83</v>
      </c>
      <c r="B111" s="66" t="s">
        <v>178</v>
      </c>
      <c r="C111" s="67" t="s">
        <v>345</v>
      </c>
      <c r="D111" s="68"/>
      <c r="E111" s="71"/>
      <c r="F111" s="68"/>
      <c r="G111" s="71"/>
      <c r="H111" s="68">
        <v>50.5</v>
      </c>
      <c r="I111" s="71">
        <v>0</v>
      </c>
      <c r="K111" s="65"/>
    </row>
    <row r="112" spans="1:12" s="67" customFormat="1" ht="30" x14ac:dyDescent="0.25">
      <c r="A112" s="65" t="s">
        <v>84</v>
      </c>
      <c r="B112" s="66" t="s">
        <v>175</v>
      </c>
      <c r="C112" s="67" t="s">
        <v>345</v>
      </c>
      <c r="D112" s="68"/>
      <c r="E112" s="71"/>
      <c r="F112" s="68"/>
      <c r="G112" s="71"/>
      <c r="H112" s="68">
        <v>28.16</v>
      </c>
      <c r="I112" s="71">
        <v>5</v>
      </c>
      <c r="K112" s="65"/>
    </row>
    <row r="113" spans="1:11" s="67" customFormat="1" ht="30" x14ac:dyDescent="0.25">
      <c r="A113" s="65" t="s">
        <v>85</v>
      </c>
      <c r="B113" s="66" t="s">
        <v>184</v>
      </c>
      <c r="C113" s="67" t="s">
        <v>345</v>
      </c>
      <c r="D113" s="68"/>
      <c r="E113" s="71"/>
      <c r="F113" s="68"/>
      <c r="G113" s="71"/>
      <c r="H113" s="68">
        <v>28.16</v>
      </c>
      <c r="I113" s="71">
        <v>0</v>
      </c>
      <c r="K113" s="65"/>
    </row>
    <row r="114" spans="1:11" s="67" customFormat="1" ht="30" x14ac:dyDescent="0.25">
      <c r="A114" s="65" t="s">
        <v>86</v>
      </c>
      <c r="B114" s="66" t="s">
        <v>185</v>
      </c>
      <c r="C114" s="67" t="s">
        <v>345</v>
      </c>
      <c r="D114" s="68"/>
      <c r="E114" s="71"/>
      <c r="F114" s="68"/>
      <c r="G114" s="71"/>
      <c r="H114" s="68">
        <v>238.93</v>
      </c>
      <c r="I114" s="71">
        <v>350</v>
      </c>
      <c r="K114" s="65"/>
    </row>
    <row r="115" spans="1:11" s="67" customFormat="1" ht="30" x14ac:dyDescent="0.25">
      <c r="A115" s="65" t="s">
        <v>87</v>
      </c>
      <c r="B115" s="66" t="s">
        <v>181</v>
      </c>
      <c r="C115" s="67" t="s">
        <v>345</v>
      </c>
      <c r="D115" s="68"/>
      <c r="E115" s="71"/>
      <c r="F115" s="68"/>
      <c r="G115" s="71"/>
      <c r="H115" s="68">
        <v>28.16</v>
      </c>
      <c r="I115" s="71">
        <v>8</v>
      </c>
      <c r="K115" s="65"/>
    </row>
    <row r="116" spans="1:11" s="67" customFormat="1" ht="30" x14ac:dyDescent="0.25">
      <c r="A116" s="65" t="s">
        <v>88</v>
      </c>
      <c r="B116" s="66" t="s">
        <v>172</v>
      </c>
      <c r="C116" s="67" t="s">
        <v>345</v>
      </c>
      <c r="D116" s="68"/>
      <c r="E116" s="71"/>
      <c r="F116" s="68"/>
      <c r="G116" s="71"/>
      <c r="H116" s="68">
        <v>606.29</v>
      </c>
      <c r="I116" s="71">
        <v>834</v>
      </c>
      <c r="K116" s="65"/>
    </row>
    <row r="117" spans="1:11" s="67" customFormat="1" ht="45" x14ac:dyDescent="0.25">
      <c r="A117" s="65" t="s">
        <v>89</v>
      </c>
      <c r="B117" s="66" t="s">
        <v>173</v>
      </c>
      <c r="C117" s="67" t="s">
        <v>345</v>
      </c>
      <c r="D117" s="68"/>
      <c r="E117" s="71"/>
      <c r="F117" s="68"/>
      <c r="G117" s="71"/>
      <c r="H117" s="68">
        <v>260.39999999999998</v>
      </c>
      <c r="I117" s="71">
        <v>358</v>
      </c>
      <c r="K117" s="65"/>
    </row>
    <row r="118" spans="1:11" s="67" customFormat="1" ht="30" x14ac:dyDescent="0.25">
      <c r="A118" s="65" t="s">
        <v>90</v>
      </c>
      <c r="B118" s="66" t="s">
        <v>174</v>
      </c>
      <c r="C118" s="67" t="s">
        <v>328</v>
      </c>
      <c r="D118" s="68"/>
      <c r="E118" s="71"/>
      <c r="F118" s="68"/>
      <c r="G118" s="71"/>
      <c r="H118" s="68">
        <v>28.16</v>
      </c>
      <c r="I118" s="71">
        <v>0</v>
      </c>
      <c r="K118" s="65"/>
    </row>
    <row r="119" spans="1:11" s="67" customFormat="1" ht="33" customHeight="1" x14ac:dyDescent="0.25">
      <c r="A119" s="65" t="s">
        <v>91</v>
      </c>
      <c r="B119" s="66" t="s">
        <v>182</v>
      </c>
      <c r="C119" s="67" t="s">
        <v>345</v>
      </c>
      <c r="D119" s="68"/>
      <c r="E119" s="71"/>
      <c r="F119" s="68"/>
      <c r="G119" s="71"/>
      <c r="H119" s="68">
        <v>43.48</v>
      </c>
      <c r="I119" s="71">
        <v>7</v>
      </c>
      <c r="K119" s="65"/>
    </row>
    <row r="120" spans="1:11" s="67" customFormat="1" ht="30" x14ac:dyDescent="0.25">
      <c r="A120" s="65" t="s">
        <v>92</v>
      </c>
      <c r="B120" s="66" t="s">
        <v>186</v>
      </c>
      <c r="C120" s="67" t="s">
        <v>345</v>
      </c>
      <c r="D120" s="68"/>
      <c r="E120" s="71"/>
      <c r="F120" s="68"/>
      <c r="G120" s="71"/>
      <c r="H120" s="68">
        <v>40.98</v>
      </c>
      <c r="I120" s="71">
        <v>44</v>
      </c>
      <c r="K120" s="65"/>
    </row>
    <row r="121" spans="1:11" s="67" customFormat="1" ht="30" x14ac:dyDescent="0.25">
      <c r="A121" s="65" t="s">
        <v>93</v>
      </c>
      <c r="B121" s="66" t="s">
        <v>183</v>
      </c>
      <c r="C121" s="67" t="s">
        <v>345</v>
      </c>
      <c r="D121" s="68"/>
      <c r="E121" s="71"/>
      <c r="F121" s="68"/>
      <c r="G121" s="71"/>
      <c r="H121" s="68">
        <v>28.16</v>
      </c>
      <c r="I121" s="71">
        <v>0</v>
      </c>
      <c r="K121" s="65"/>
    </row>
    <row r="122" spans="1:11" s="67" customFormat="1" ht="30" x14ac:dyDescent="0.25">
      <c r="A122" s="65" t="s">
        <v>103</v>
      </c>
      <c r="B122" s="66" t="s">
        <v>194</v>
      </c>
      <c r="C122" s="67" t="s">
        <v>345</v>
      </c>
      <c r="D122" s="68"/>
      <c r="E122" s="71"/>
      <c r="F122" s="68"/>
      <c r="G122" s="71"/>
      <c r="H122" s="68">
        <v>43.97</v>
      </c>
      <c r="I122" s="71">
        <v>4</v>
      </c>
      <c r="K122" s="65"/>
    </row>
    <row r="123" spans="1:11" s="67" customFormat="1" ht="45" x14ac:dyDescent="0.25">
      <c r="A123" s="65" t="s">
        <v>104</v>
      </c>
      <c r="B123" s="66" t="s">
        <v>195</v>
      </c>
      <c r="C123" s="67" t="s">
        <v>345</v>
      </c>
      <c r="D123" s="68"/>
      <c r="E123" s="71"/>
      <c r="F123" s="68"/>
      <c r="G123" s="71"/>
      <c r="H123" s="68">
        <v>43.48</v>
      </c>
      <c r="I123" s="71">
        <v>20</v>
      </c>
      <c r="K123" s="65"/>
    </row>
    <row r="124" spans="1:11" s="67" customFormat="1" ht="30" x14ac:dyDescent="0.25">
      <c r="A124" s="65" t="s">
        <v>105</v>
      </c>
      <c r="B124" s="66" t="s">
        <v>196</v>
      </c>
      <c r="C124" s="67" t="s">
        <v>345</v>
      </c>
      <c r="D124" s="68"/>
      <c r="E124" s="71"/>
      <c r="F124" s="68"/>
      <c r="G124" s="71"/>
      <c r="H124" s="68">
        <v>42.24</v>
      </c>
      <c r="I124" s="71">
        <v>1</v>
      </c>
      <c r="K124" s="65"/>
    </row>
    <row r="125" spans="1:11" s="67" customFormat="1" ht="30" x14ac:dyDescent="0.25">
      <c r="A125" s="65" t="s">
        <v>68</v>
      </c>
      <c r="B125" s="66" t="s">
        <v>166</v>
      </c>
      <c r="C125" s="67" t="s">
        <v>345</v>
      </c>
      <c r="D125" s="68"/>
      <c r="E125" s="71"/>
      <c r="F125" s="68"/>
      <c r="G125" s="71"/>
      <c r="H125" s="68">
        <v>101.87</v>
      </c>
      <c r="I125" s="71">
        <v>31</v>
      </c>
      <c r="K125" s="65"/>
    </row>
    <row r="126" spans="1:11" s="67" customFormat="1" ht="30" x14ac:dyDescent="0.25">
      <c r="A126" s="65" t="s">
        <v>46</v>
      </c>
      <c r="B126" s="66" t="s">
        <v>193</v>
      </c>
      <c r="C126" s="67" t="s">
        <v>345</v>
      </c>
      <c r="D126" s="68"/>
      <c r="E126" s="71"/>
      <c r="F126" s="68"/>
      <c r="G126" s="71"/>
      <c r="H126" s="68">
        <v>43.48</v>
      </c>
      <c r="I126" s="71">
        <v>13</v>
      </c>
      <c r="K126" s="65"/>
    </row>
    <row r="127" spans="1:11" s="67" customFormat="1" ht="30" x14ac:dyDescent="0.25">
      <c r="A127" s="65" t="s">
        <v>17</v>
      </c>
      <c r="B127" s="66" t="s">
        <v>192</v>
      </c>
      <c r="C127" s="67" t="s">
        <v>345</v>
      </c>
      <c r="D127" s="68"/>
      <c r="E127" s="71"/>
      <c r="F127" s="68"/>
      <c r="G127" s="71"/>
      <c r="H127" s="68">
        <v>90.19</v>
      </c>
      <c r="I127" s="71">
        <v>0</v>
      </c>
      <c r="K127" s="65"/>
    </row>
    <row r="128" spans="1:11" s="67" customFormat="1" ht="30" x14ac:dyDescent="0.25">
      <c r="A128" s="65" t="s">
        <v>47</v>
      </c>
      <c r="B128" s="66" t="s">
        <v>139</v>
      </c>
      <c r="C128" s="67" t="s">
        <v>349</v>
      </c>
      <c r="D128" s="68"/>
      <c r="E128" s="71"/>
      <c r="F128" s="68"/>
      <c r="G128" s="71"/>
      <c r="H128" s="68">
        <v>56.49</v>
      </c>
      <c r="I128" s="71">
        <v>43</v>
      </c>
      <c r="K128" s="65"/>
    </row>
    <row r="129" spans="1:11" s="67" customFormat="1" ht="30" x14ac:dyDescent="0.25">
      <c r="A129" s="65" t="s">
        <v>64</v>
      </c>
      <c r="B129" s="66" t="s">
        <v>191</v>
      </c>
      <c r="C129" s="67" t="s">
        <v>345</v>
      </c>
      <c r="D129" s="68"/>
      <c r="E129" s="71"/>
      <c r="F129" s="68"/>
      <c r="G129" s="71"/>
      <c r="H129" s="68">
        <v>206.89</v>
      </c>
      <c r="I129" s="71">
        <v>270</v>
      </c>
      <c r="K129" s="65"/>
    </row>
    <row r="130" spans="1:11" s="67" customFormat="1" ht="30" x14ac:dyDescent="0.25">
      <c r="A130" s="65" t="s">
        <v>130</v>
      </c>
      <c r="B130" s="66" t="s">
        <v>131</v>
      </c>
      <c r="C130" s="67" t="s">
        <v>349</v>
      </c>
      <c r="D130" s="68"/>
      <c r="E130" s="71"/>
      <c r="F130" s="68"/>
      <c r="G130" s="71"/>
      <c r="H130" s="68">
        <v>2003.95</v>
      </c>
      <c r="I130" s="71">
        <v>2661</v>
      </c>
      <c r="K130" s="65"/>
    </row>
    <row r="131" spans="1:11" s="67" customFormat="1" ht="30" x14ac:dyDescent="0.25">
      <c r="A131" s="65" t="s">
        <v>134</v>
      </c>
      <c r="B131" s="66" t="s">
        <v>133</v>
      </c>
      <c r="C131" s="67" t="s">
        <v>349</v>
      </c>
      <c r="D131" s="68"/>
      <c r="E131" s="71"/>
      <c r="F131" s="68"/>
      <c r="G131" s="71"/>
      <c r="H131" s="68">
        <v>57.36</v>
      </c>
      <c r="I131" s="71">
        <v>46</v>
      </c>
      <c r="K131" s="65"/>
    </row>
    <row r="132" spans="1:11" s="67" customFormat="1" ht="30" x14ac:dyDescent="0.25">
      <c r="A132" s="65" t="s">
        <v>309</v>
      </c>
      <c r="B132" s="66" t="s">
        <v>135</v>
      </c>
      <c r="C132" s="67" t="s">
        <v>349</v>
      </c>
      <c r="D132" s="68"/>
      <c r="E132" s="71"/>
      <c r="F132" s="68"/>
      <c r="G132" s="71"/>
      <c r="H132" s="68">
        <v>2259.41</v>
      </c>
      <c r="I132" s="71">
        <v>2548</v>
      </c>
      <c r="K132" s="65"/>
    </row>
    <row r="133" spans="1:11" s="67" customFormat="1" x14ac:dyDescent="0.25">
      <c r="A133" s="65" t="s">
        <v>137</v>
      </c>
      <c r="B133" s="66" t="s">
        <v>138</v>
      </c>
      <c r="C133" s="67" t="s">
        <v>349</v>
      </c>
      <c r="D133" s="68"/>
      <c r="E133" s="71"/>
      <c r="F133" s="68"/>
      <c r="G133" s="71"/>
      <c r="H133" s="68">
        <v>28.16</v>
      </c>
      <c r="I133" s="71">
        <v>0</v>
      </c>
      <c r="K133" s="65"/>
    </row>
    <row r="134" spans="1:11" s="67" customFormat="1" ht="30" x14ac:dyDescent="0.25">
      <c r="A134" s="65" t="s">
        <v>140</v>
      </c>
      <c r="B134" s="66" t="s">
        <v>141</v>
      </c>
      <c r="C134" s="67" t="s">
        <v>349</v>
      </c>
      <c r="D134" s="68"/>
      <c r="E134" s="71"/>
      <c r="F134" s="68"/>
      <c r="G134" s="71"/>
      <c r="H134" s="68">
        <v>43.48</v>
      </c>
      <c r="I134" s="71">
        <v>0</v>
      </c>
      <c r="K134" s="65"/>
    </row>
    <row r="135" spans="1:11" s="67" customFormat="1" x14ac:dyDescent="0.25">
      <c r="A135" s="65" t="s">
        <v>142</v>
      </c>
      <c r="B135" s="66" t="s">
        <v>143</v>
      </c>
      <c r="C135" s="67" t="s">
        <v>349</v>
      </c>
      <c r="D135" s="68"/>
      <c r="E135" s="71"/>
      <c r="F135" s="68"/>
      <c r="G135" s="71"/>
      <c r="H135" s="68">
        <v>28.16</v>
      </c>
      <c r="I135" s="71">
        <v>19</v>
      </c>
      <c r="K135" s="65"/>
    </row>
    <row r="136" spans="1:11" s="67" customFormat="1" x14ac:dyDescent="0.25">
      <c r="A136" s="65" t="s">
        <v>144</v>
      </c>
      <c r="B136" s="66" t="s">
        <v>145</v>
      </c>
      <c r="C136" s="67" t="s">
        <v>349</v>
      </c>
      <c r="D136" s="68"/>
      <c r="E136" s="71"/>
      <c r="F136" s="68"/>
      <c r="G136" s="71"/>
      <c r="H136" s="68">
        <v>413.69</v>
      </c>
      <c r="I136" s="71">
        <v>516</v>
      </c>
      <c r="K136" s="65"/>
    </row>
    <row r="137" spans="1:11" s="67" customFormat="1" x14ac:dyDescent="0.25">
      <c r="A137" s="65" t="s">
        <v>146</v>
      </c>
      <c r="B137" s="66" t="s">
        <v>147</v>
      </c>
      <c r="C137" s="67" t="s">
        <v>349</v>
      </c>
      <c r="D137" s="68"/>
      <c r="E137" s="71"/>
      <c r="F137" s="68"/>
      <c r="G137" s="71"/>
      <c r="H137" s="68">
        <v>331.66</v>
      </c>
      <c r="I137" s="71">
        <v>475</v>
      </c>
      <c r="K137" s="65"/>
    </row>
    <row r="138" spans="1:11" s="67" customFormat="1" x14ac:dyDescent="0.25">
      <c r="A138" s="65" t="s">
        <v>176</v>
      </c>
      <c r="B138" s="66" t="s">
        <v>165</v>
      </c>
      <c r="C138" s="67" t="s">
        <v>353</v>
      </c>
      <c r="D138" s="68"/>
      <c r="E138" s="71"/>
      <c r="F138" s="68"/>
      <c r="G138" s="71"/>
      <c r="H138" s="68">
        <v>286.11</v>
      </c>
      <c r="I138" s="71">
        <v>368</v>
      </c>
      <c r="K138" s="65"/>
    </row>
    <row r="139" spans="1:11" ht="30" x14ac:dyDescent="0.25">
      <c r="A139" s="20" t="s">
        <v>106</v>
      </c>
      <c r="B139" s="21"/>
      <c r="D139" s="7"/>
      <c r="F139" s="7"/>
      <c r="H139" s="7"/>
      <c r="K139" s="13"/>
    </row>
    <row r="140" spans="1:11" s="67" customFormat="1" ht="30" x14ac:dyDescent="0.25">
      <c r="A140" s="65" t="s">
        <v>107</v>
      </c>
      <c r="B140" s="66">
        <v>67</v>
      </c>
      <c r="C140" s="67" t="s">
        <v>348</v>
      </c>
      <c r="D140" s="68"/>
      <c r="E140" s="71"/>
      <c r="F140" s="68"/>
      <c r="G140" s="71"/>
      <c r="H140" s="68">
        <v>47.5</v>
      </c>
      <c r="I140" s="71">
        <v>200</v>
      </c>
      <c r="K140" s="65"/>
    </row>
    <row r="141" spans="1:11" s="67" customFormat="1" ht="30" x14ac:dyDescent="0.25">
      <c r="A141" s="65" t="s">
        <v>109</v>
      </c>
      <c r="B141" s="66">
        <v>95</v>
      </c>
      <c r="C141" s="67" t="s">
        <v>348</v>
      </c>
      <c r="D141" s="68"/>
      <c r="E141" s="71"/>
      <c r="F141" s="68"/>
      <c r="G141" s="71"/>
      <c r="H141" s="68">
        <v>52.4</v>
      </c>
      <c r="I141" s="71">
        <v>2500</v>
      </c>
      <c r="K141" s="65"/>
    </row>
    <row r="142" spans="1:11" x14ac:dyDescent="0.25">
      <c r="A142" s="5" t="s">
        <v>155</v>
      </c>
      <c r="B142" s="23"/>
      <c r="D142" s="7"/>
      <c r="F142" s="7"/>
      <c r="H142" s="7"/>
      <c r="K142" s="13"/>
    </row>
    <row r="143" spans="1:11" s="67" customFormat="1" ht="30" x14ac:dyDescent="0.25">
      <c r="A143" s="65" t="s">
        <v>156</v>
      </c>
      <c r="B143" s="89">
        <v>61</v>
      </c>
      <c r="C143" s="72">
        <v>42257</v>
      </c>
      <c r="D143" s="68"/>
      <c r="E143" s="71"/>
      <c r="F143" s="68"/>
      <c r="G143" s="71"/>
      <c r="H143" s="68">
        <v>30.15</v>
      </c>
      <c r="I143" s="71">
        <v>160</v>
      </c>
      <c r="K143" s="65"/>
    </row>
    <row r="144" spans="1:11" ht="30" x14ac:dyDescent="0.25">
      <c r="A144" s="20" t="s">
        <v>39</v>
      </c>
      <c r="B144" s="21"/>
      <c r="D144" s="7"/>
      <c r="F144" s="7"/>
      <c r="H144" s="7"/>
      <c r="K144" s="13"/>
    </row>
    <row r="145" spans="1:11" s="67" customFormat="1" ht="60" x14ac:dyDescent="0.25">
      <c r="A145" s="65" t="s">
        <v>40</v>
      </c>
      <c r="B145" s="66">
        <v>95</v>
      </c>
      <c r="C145" s="72">
        <v>42247</v>
      </c>
      <c r="D145" s="68"/>
      <c r="E145" s="71"/>
      <c r="F145" s="68"/>
      <c r="G145" s="71"/>
      <c r="H145" s="68">
        <v>16</v>
      </c>
      <c r="I145" s="71">
        <v>600</v>
      </c>
      <c r="K145" s="65"/>
    </row>
    <row r="146" spans="1:11" ht="45" x14ac:dyDescent="0.25">
      <c r="A146" s="20" t="s">
        <v>354</v>
      </c>
      <c r="B146" s="14"/>
      <c r="C146" s="31"/>
      <c r="D146" s="7"/>
      <c r="F146" s="7"/>
      <c r="H146" s="7"/>
      <c r="K146" s="13"/>
    </row>
    <row r="147" spans="1:11" s="67" customFormat="1" ht="30" x14ac:dyDescent="0.25">
      <c r="A147" s="65" t="s">
        <v>355</v>
      </c>
      <c r="B147" s="66" t="s">
        <v>356</v>
      </c>
      <c r="C147" s="72" t="s">
        <v>357</v>
      </c>
      <c r="D147" s="68"/>
      <c r="E147" s="71"/>
      <c r="F147" s="68"/>
      <c r="G147" s="71"/>
      <c r="H147" s="68">
        <v>10</v>
      </c>
      <c r="I147" s="71">
        <v>0</v>
      </c>
      <c r="K147" s="65"/>
    </row>
    <row r="148" spans="1:11" x14ac:dyDescent="0.25">
      <c r="D148" s="70">
        <f t="shared" ref="D148:I148" si="0">SUM(D2:D145)</f>
        <v>25162.189999999991</v>
      </c>
      <c r="E148" s="51">
        <f t="shared" si="0"/>
        <v>274977</v>
      </c>
      <c r="F148" s="70">
        <f t="shared" si="0"/>
        <v>1518.6299999999999</v>
      </c>
      <c r="G148" s="51">
        <f t="shared" si="0"/>
        <v>1476</v>
      </c>
      <c r="H148" s="70">
        <f t="shared" si="0"/>
        <v>9193.869999999999</v>
      </c>
      <c r="I148" s="51">
        <f t="shared" si="0"/>
        <v>13479</v>
      </c>
      <c r="J148" s="70"/>
    </row>
  </sheetData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146"/>
  <sheetViews>
    <sheetView workbookViewId="0">
      <pane ySplit="1" topLeftCell="A62" activePane="bottomLeft" state="frozen"/>
      <selection pane="bottomLeft" activeCell="A60" sqref="A60"/>
    </sheetView>
  </sheetViews>
  <sheetFormatPr defaultRowHeight="15" x14ac:dyDescent="0.25"/>
  <cols>
    <col min="1" max="1" width="18.5703125" style="2" customWidth="1"/>
    <col min="2" max="2" width="12.28515625" style="2" bestFit="1" customWidth="1"/>
    <col min="3" max="3" width="23.5703125" style="2" bestFit="1" customWidth="1"/>
    <col min="4" max="4" width="11.5703125" style="2" bestFit="1" customWidth="1"/>
    <col min="5" max="5" width="12.5703125" style="51" bestFit="1" customWidth="1"/>
    <col min="6" max="6" width="10.5703125" style="2" bestFit="1" customWidth="1"/>
    <col min="7" max="7" width="10.5703125" style="51" bestFit="1" customWidth="1"/>
    <col min="8" max="8" width="10.5703125" style="2" bestFit="1" customWidth="1"/>
    <col min="9" max="9" width="11.5703125" style="51" bestFit="1" customWidth="1"/>
    <col min="10" max="10" width="9.140625" style="2"/>
    <col min="11" max="11" width="15.42578125" style="2" customWidth="1"/>
    <col min="12" max="16384" width="9.140625" style="2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13"/>
    </row>
    <row r="3" spans="1:11" s="67" customFormat="1" ht="45" x14ac:dyDescent="0.25">
      <c r="A3" s="65" t="s">
        <v>322</v>
      </c>
      <c r="B3" s="66">
        <v>3038136345</v>
      </c>
      <c r="C3" s="67" t="s">
        <v>316</v>
      </c>
      <c r="D3" s="68"/>
      <c r="E3" s="71"/>
      <c r="F3" s="68">
        <v>738.58</v>
      </c>
      <c r="G3" s="71">
        <v>1164</v>
      </c>
      <c r="H3" s="68"/>
      <c r="I3" s="71"/>
      <c r="J3" s="67" t="s">
        <v>10</v>
      </c>
      <c r="K3" s="65"/>
    </row>
    <row r="4" spans="1:11" s="67" customFormat="1" ht="30" x14ac:dyDescent="0.25">
      <c r="A4" s="65" t="s">
        <v>13</v>
      </c>
      <c r="B4" s="66">
        <v>3026210376</v>
      </c>
      <c r="C4" s="67" t="s">
        <v>317</v>
      </c>
      <c r="D4" s="68"/>
      <c r="E4" s="71"/>
      <c r="F4" s="68">
        <v>56.86</v>
      </c>
      <c r="G4" s="71">
        <v>24</v>
      </c>
      <c r="H4" s="68"/>
      <c r="I4" s="71"/>
      <c r="J4" s="67" t="s">
        <v>10</v>
      </c>
      <c r="K4" s="65"/>
    </row>
    <row r="5" spans="1:11" s="67" customFormat="1" ht="30" x14ac:dyDescent="0.25">
      <c r="A5" s="65" t="s">
        <v>36</v>
      </c>
      <c r="B5" s="66">
        <v>3039781986</v>
      </c>
      <c r="C5" s="67" t="s">
        <v>318</v>
      </c>
      <c r="D5" s="68"/>
      <c r="E5" s="71"/>
      <c r="F5" s="68">
        <v>42.5</v>
      </c>
      <c r="G5" s="71">
        <v>0</v>
      </c>
      <c r="H5" s="68"/>
      <c r="I5" s="71"/>
      <c r="J5" s="67" t="s">
        <v>10</v>
      </c>
      <c r="K5" s="65"/>
    </row>
    <row r="6" spans="1:11" s="67" customFormat="1" x14ac:dyDescent="0.25">
      <c r="A6" s="65" t="s">
        <v>34</v>
      </c>
      <c r="B6" s="66">
        <v>3039472917</v>
      </c>
      <c r="C6" s="67" t="s">
        <v>314</v>
      </c>
      <c r="D6" s="68"/>
      <c r="E6" s="71"/>
      <c r="F6" s="68">
        <v>56.86</v>
      </c>
      <c r="G6" s="71">
        <v>24</v>
      </c>
      <c r="H6" s="68"/>
      <c r="I6" s="71"/>
      <c r="J6" s="67" t="s">
        <v>10</v>
      </c>
      <c r="K6" s="65"/>
    </row>
    <row r="7" spans="1:11" s="67" customFormat="1" x14ac:dyDescent="0.25">
      <c r="A7" s="65" t="s">
        <v>37</v>
      </c>
      <c r="B7" s="66">
        <v>4005211270</v>
      </c>
      <c r="C7" s="67" t="s">
        <v>318</v>
      </c>
      <c r="D7" s="68"/>
      <c r="E7" s="71"/>
      <c r="F7" s="68">
        <v>49.08</v>
      </c>
      <c r="G7" s="71">
        <v>11</v>
      </c>
      <c r="H7" s="68"/>
      <c r="I7" s="71"/>
      <c r="J7" s="67" t="s">
        <v>10</v>
      </c>
      <c r="K7" s="65"/>
    </row>
    <row r="8" spans="1:11" s="67" customFormat="1" ht="45" x14ac:dyDescent="0.25">
      <c r="A8" s="65" t="s">
        <v>41</v>
      </c>
      <c r="B8" s="66">
        <v>3044004323</v>
      </c>
      <c r="C8" s="67" t="s">
        <v>316</v>
      </c>
      <c r="D8" s="68"/>
      <c r="E8" s="71"/>
      <c r="F8" s="68">
        <v>51.95</v>
      </c>
      <c r="G8" s="71">
        <v>8</v>
      </c>
      <c r="H8" s="68"/>
      <c r="I8" s="71"/>
      <c r="J8" s="67" t="s">
        <v>10</v>
      </c>
      <c r="K8" s="65"/>
    </row>
    <row r="9" spans="1:11" s="67" customFormat="1" ht="45" x14ac:dyDescent="0.25">
      <c r="A9" s="65" t="s">
        <v>42</v>
      </c>
      <c r="B9" s="66">
        <v>3029257704</v>
      </c>
      <c r="C9" s="67" t="s">
        <v>323</v>
      </c>
      <c r="D9" s="68"/>
      <c r="E9" s="71"/>
      <c r="F9" s="68">
        <v>48.11</v>
      </c>
      <c r="G9" s="71">
        <v>1</v>
      </c>
      <c r="H9" s="68"/>
      <c r="I9" s="71"/>
      <c r="J9" s="67" t="s">
        <v>10</v>
      </c>
      <c r="K9" s="65"/>
    </row>
    <row r="10" spans="1:11" s="67" customFormat="1" ht="30" x14ac:dyDescent="0.25">
      <c r="A10" s="65" t="s">
        <v>44</v>
      </c>
      <c r="B10" s="66">
        <v>3039640691</v>
      </c>
      <c r="C10" s="67" t="s">
        <v>325</v>
      </c>
      <c r="D10" s="68"/>
      <c r="E10" s="71"/>
      <c r="F10" s="68">
        <v>72.400000000000006</v>
      </c>
      <c r="G10" s="71">
        <v>50</v>
      </c>
      <c r="H10" s="68"/>
      <c r="I10" s="71"/>
      <c r="J10" s="67" t="s">
        <v>10</v>
      </c>
      <c r="K10" s="65"/>
    </row>
    <row r="11" spans="1:11" s="67" customFormat="1" ht="30" x14ac:dyDescent="0.25">
      <c r="A11" s="65" t="s">
        <v>43</v>
      </c>
      <c r="B11" s="66">
        <v>3039782225</v>
      </c>
      <c r="C11" s="67" t="s">
        <v>319</v>
      </c>
      <c r="D11" s="68"/>
      <c r="E11" s="71"/>
      <c r="F11" s="68">
        <v>55.06</v>
      </c>
      <c r="G11" s="71">
        <v>21</v>
      </c>
      <c r="H11" s="68"/>
      <c r="I11" s="71"/>
      <c r="J11" s="67" t="s">
        <v>10</v>
      </c>
      <c r="K11" s="65"/>
    </row>
    <row r="12" spans="1:11" s="67" customFormat="1" ht="45" x14ac:dyDescent="0.25">
      <c r="A12" s="65" t="s">
        <v>45</v>
      </c>
      <c r="B12" s="66">
        <v>3039618715</v>
      </c>
      <c r="C12" s="67" t="s">
        <v>323</v>
      </c>
      <c r="D12" s="68"/>
      <c r="E12" s="71"/>
      <c r="F12" s="68">
        <v>47.56</v>
      </c>
      <c r="G12" s="71">
        <v>0</v>
      </c>
      <c r="H12" s="68"/>
      <c r="I12" s="71"/>
      <c r="J12" s="67" t="s">
        <v>10</v>
      </c>
      <c r="K12" s="65"/>
    </row>
    <row r="13" spans="1:11" s="67" customFormat="1" ht="30" x14ac:dyDescent="0.25">
      <c r="A13" s="65" t="s">
        <v>46</v>
      </c>
      <c r="B13" s="66">
        <v>3023189549</v>
      </c>
      <c r="C13" s="67" t="s">
        <v>320</v>
      </c>
      <c r="D13" s="68"/>
      <c r="E13" s="71"/>
      <c r="F13" s="68">
        <v>42.5</v>
      </c>
      <c r="G13" s="71">
        <v>0</v>
      </c>
      <c r="H13" s="68"/>
      <c r="I13" s="71"/>
      <c r="J13" s="67" t="s">
        <v>10</v>
      </c>
      <c r="K13" s="65"/>
    </row>
    <row r="14" spans="1:11" s="67" customFormat="1" ht="30" x14ac:dyDescent="0.25">
      <c r="A14" s="65" t="s">
        <v>47</v>
      </c>
      <c r="B14" s="66">
        <v>3034878837</v>
      </c>
      <c r="C14" s="67" t="s">
        <v>320</v>
      </c>
      <c r="D14" s="68"/>
      <c r="E14" s="71"/>
      <c r="F14" s="68">
        <v>42.48</v>
      </c>
      <c r="G14" s="71">
        <v>0</v>
      </c>
      <c r="H14" s="68"/>
      <c r="I14" s="71"/>
      <c r="J14" s="67" t="s">
        <v>10</v>
      </c>
      <c r="K14" s="65"/>
    </row>
    <row r="15" spans="1:11" s="67" customFormat="1" ht="30" x14ac:dyDescent="0.25">
      <c r="A15" s="65" t="s">
        <v>64</v>
      </c>
      <c r="B15" s="66">
        <v>3025670416</v>
      </c>
      <c r="C15" s="67" t="s">
        <v>324</v>
      </c>
      <c r="D15" s="68"/>
      <c r="E15" s="71"/>
      <c r="F15" s="68">
        <v>48.48</v>
      </c>
      <c r="G15" s="71">
        <v>10</v>
      </c>
      <c r="H15" s="68"/>
      <c r="I15" s="71"/>
      <c r="J15" s="67" t="s">
        <v>10</v>
      </c>
      <c r="K15" s="65"/>
    </row>
    <row r="16" spans="1:11" s="67" customFormat="1" ht="30" x14ac:dyDescent="0.25">
      <c r="A16" s="65" t="s">
        <v>65</v>
      </c>
      <c r="B16" s="66">
        <v>3023110891</v>
      </c>
      <c r="C16" s="67" t="s">
        <v>320</v>
      </c>
      <c r="D16" s="68"/>
      <c r="E16" s="71"/>
      <c r="F16" s="68">
        <v>109.48</v>
      </c>
      <c r="G16" s="71">
        <v>112</v>
      </c>
      <c r="H16" s="68"/>
      <c r="I16" s="71"/>
      <c r="J16" s="67" t="s">
        <v>10</v>
      </c>
      <c r="K16" s="65"/>
    </row>
    <row r="17" spans="1:11" s="67" customFormat="1" ht="30" x14ac:dyDescent="0.25">
      <c r="A17" s="65" t="s">
        <v>69</v>
      </c>
      <c r="B17" s="66">
        <v>3022125574</v>
      </c>
      <c r="C17" s="67" t="s">
        <v>327</v>
      </c>
      <c r="D17" s="68"/>
      <c r="E17" s="71"/>
      <c r="F17" s="68">
        <v>37.799999999999997</v>
      </c>
      <c r="G17" s="71">
        <v>27</v>
      </c>
      <c r="H17" s="68"/>
      <c r="I17" s="71"/>
      <c r="J17" s="67" t="s">
        <v>10</v>
      </c>
      <c r="K17" s="65"/>
    </row>
    <row r="18" spans="1:11" s="67" customFormat="1" ht="30" x14ac:dyDescent="0.25">
      <c r="A18" s="65" t="s">
        <v>68</v>
      </c>
      <c r="B18" s="66">
        <v>3022125841</v>
      </c>
      <c r="C18" s="67" t="s">
        <v>327</v>
      </c>
      <c r="D18" s="68"/>
      <c r="E18" s="71"/>
      <c r="F18" s="68">
        <v>42.5</v>
      </c>
      <c r="G18" s="71">
        <v>0</v>
      </c>
      <c r="H18" s="68"/>
      <c r="I18" s="71"/>
      <c r="J18" s="67" t="s">
        <v>10</v>
      </c>
      <c r="K18" s="65"/>
    </row>
    <row r="19" spans="1:11" x14ac:dyDescent="0.25">
      <c r="A19" s="20" t="s">
        <v>25</v>
      </c>
      <c r="B19" s="21"/>
      <c r="D19" s="7"/>
      <c r="F19" s="7"/>
      <c r="H19" s="7"/>
      <c r="K19" s="13"/>
    </row>
    <row r="20" spans="1:11" s="67" customFormat="1" ht="30" x14ac:dyDescent="0.25">
      <c r="A20" s="65" t="s">
        <v>310</v>
      </c>
      <c r="B20" s="66">
        <v>8463322</v>
      </c>
      <c r="C20" s="67" t="s">
        <v>329</v>
      </c>
      <c r="D20" s="68">
        <v>6659.39</v>
      </c>
      <c r="E20" s="71">
        <v>98500</v>
      </c>
      <c r="F20" s="68"/>
      <c r="G20" s="71"/>
      <c r="H20" s="68"/>
      <c r="I20" s="71"/>
      <c r="J20" s="67" t="s">
        <v>33</v>
      </c>
      <c r="K20" s="65"/>
    </row>
    <row r="21" spans="1:11" s="67" customFormat="1" ht="30" x14ac:dyDescent="0.25">
      <c r="A21" s="65" t="s">
        <v>113</v>
      </c>
      <c r="B21" s="66">
        <v>5089282</v>
      </c>
      <c r="C21" s="67" t="s">
        <v>329</v>
      </c>
      <c r="D21" s="68">
        <v>513.66999999999996</v>
      </c>
      <c r="E21" s="71">
        <v>2100</v>
      </c>
      <c r="F21" s="68"/>
      <c r="G21" s="71"/>
      <c r="H21" s="68"/>
      <c r="I21" s="71"/>
      <c r="J21" s="67" t="s">
        <v>33</v>
      </c>
      <c r="K21" s="65"/>
    </row>
    <row r="22" spans="1:11" s="67" customFormat="1" ht="30" x14ac:dyDescent="0.25">
      <c r="A22" s="65" t="s">
        <v>252</v>
      </c>
      <c r="B22" s="67">
        <v>8239130</v>
      </c>
      <c r="C22" s="67" t="s">
        <v>329</v>
      </c>
      <c r="D22" s="68">
        <v>42.31</v>
      </c>
      <c r="E22" s="71">
        <v>333</v>
      </c>
      <c r="F22" s="68"/>
      <c r="G22" s="71"/>
      <c r="H22" s="68"/>
      <c r="I22" s="71"/>
      <c r="J22" s="67" t="s">
        <v>33</v>
      </c>
      <c r="K22" s="65"/>
    </row>
    <row r="23" spans="1:11" s="67" customFormat="1" ht="30" x14ac:dyDescent="0.25">
      <c r="A23" s="65" t="s">
        <v>114</v>
      </c>
      <c r="B23" s="66">
        <v>5089344</v>
      </c>
      <c r="C23" s="67" t="s">
        <v>329</v>
      </c>
      <c r="D23" s="68">
        <v>40.57</v>
      </c>
      <c r="E23" s="71">
        <v>312</v>
      </c>
      <c r="F23" s="68"/>
      <c r="G23" s="71"/>
      <c r="H23" s="68"/>
      <c r="I23" s="71"/>
      <c r="J23" s="67" t="s">
        <v>33</v>
      </c>
      <c r="K23" s="65"/>
    </row>
    <row r="24" spans="1:11" s="15" customFormat="1" ht="30" x14ac:dyDescent="0.25">
      <c r="A24" s="16" t="s">
        <v>19</v>
      </c>
      <c r="B24" s="18">
        <v>7010755</v>
      </c>
      <c r="C24" s="15" t="s">
        <v>329</v>
      </c>
      <c r="D24" s="17">
        <v>14.6</v>
      </c>
      <c r="E24" s="64">
        <v>0</v>
      </c>
      <c r="F24" s="17"/>
      <c r="G24" s="64"/>
      <c r="H24" s="17"/>
      <c r="I24" s="64"/>
      <c r="J24" s="15" t="s">
        <v>33</v>
      </c>
      <c r="K24" s="16"/>
    </row>
    <row r="25" spans="1:11" s="67" customFormat="1" ht="30" x14ac:dyDescent="0.25">
      <c r="A25" s="65" t="s">
        <v>115</v>
      </c>
      <c r="B25" s="66">
        <v>9261200</v>
      </c>
      <c r="C25" s="67" t="s">
        <v>329</v>
      </c>
      <c r="D25" s="68">
        <v>164.82</v>
      </c>
      <c r="E25" s="71">
        <v>1729</v>
      </c>
      <c r="F25" s="68"/>
      <c r="G25" s="71"/>
      <c r="H25" s="68"/>
      <c r="I25" s="71"/>
      <c r="J25" s="67" t="s">
        <v>33</v>
      </c>
      <c r="K25" s="65"/>
    </row>
    <row r="26" spans="1:11" s="67" customFormat="1" ht="30" x14ac:dyDescent="0.25">
      <c r="A26" s="65" t="s">
        <v>116</v>
      </c>
      <c r="B26" s="66">
        <v>5105092</v>
      </c>
      <c r="C26" s="67" t="s">
        <v>329</v>
      </c>
      <c r="D26" s="68">
        <v>565.75</v>
      </c>
      <c r="E26" s="71">
        <v>6578</v>
      </c>
      <c r="F26" s="68"/>
      <c r="G26" s="71"/>
      <c r="H26" s="68"/>
      <c r="I26" s="71"/>
      <c r="J26" s="67" t="s">
        <v>33</v>
      </c>
      <c r="K26" s="65"/>
    </row>
    <row r="27" spans="1:11" s="67" customFormat="1" ht="30" x14ac:dyDescent="0.25">
      <c r="A27" s="65" t="s">
        <v>119</v>
      </c>
      <c r="B27" s="66">
        <v>5074402</v>
      </c>
      <c r="C27" s="67" t="s">
        <v>329</v>
      </c>
      <c r="D27" s="68">
        <v>14.6</v>
      </c>
      <c r="E27" s="71">
        <v>0</v>
      </c>
      <c r="F27" s="68"/>
      <c r="G27" s="71"/>
      <c r="H27" s="68"/>
      <c r="I27" s="71"/>
      <c r="J27" s="67" t="s">
        <v>33</v>
      </c>
      <c r="K27" s="65"/>
    </row>
    <row r="28" spans="1:11" s="67" customFormat="1" ht="30" x14ac:dyDescent="0.25">
      <c r="A28" s="65" t="s">
        <v>248</v>
      </c>
      <c r="B28" s="66">
        <v>5264802</v>
      </c>
      <c r="C28" s="67" t="s">
        <v>331</v>
      </c>
      <c r="D28" s="68">
        <v>112.56</v>
      </c>
      <c r="E28" s="71">
        <v>770</v>
      </c>
      <c r="F28" s="68"/>
      <c r="G28" s="71"/>
      <c r="H28" s="68"/>
      <c r="I28" s="71"/>
      <c r="J28" s="67" t="s">
        <v>33</v>
      </c>
      <c r="K28" s="65"/>
    </row>
    <row r="29" spans="1:11" s="67" customFormat="1" x14ac:dyDescent="0.25">
      <c r="A29" s="65" t="s">
        <v>264</v>
      </c>
      <c r="B29" s="66">
        <v>8234139</v>
      </c>
      <c r="C29" s="67" t="s">
        <v>329</v>
      </c>
      <c r="D29" s="68">
        <v>23.01</v>
      </c>
      <c r="E29" s="71">
        <v>101</v>
      </c>
      <c r="F29" s="68"/>
      <c r="G29" s="71"/>
      <c r="H29" s="68"/>
      <c r="I29" s="71"/>
      <c r="J29" s="67" t="s">
        <v>33</v>
      </c>
      <c r="K29" s="65"/>
    </row>
    <row r="30" spans="1:11" s="67" customFormat="1" x14ac:dyDescent="0.25">
      <c r="A30" s="65" t="s">
        <v>250</v>
      </c>
      <c r="B30" s="66">
        <v>5074495</v>
      </c>
      <c r="C30" s="67" t="s">
        <v>331</v>
      </c>
      <c r="D30" s="68">
        <v>14.6</v>
      </c>
      <c r="E30" s="71">
        <v>0</v>
      </c>
      <c r="F30" s="68"/>
      <c r="G30" s="71"/>
      <c r="H30" s="68"/>
      <c r="I30" s="71"/>
      <c r="J30" s="67" t="s">
        <v>33</v>
      </c>
      <c r="K30" s="65"/>
    </row>
    <row r="31" spans="1:11" s="67" customFormat="1" ht="45" x14ac:dyDescent="0.25">
      <c r="A31" s="65" t="s">
        <v>123</v>
      </c>
      <c r="B31" s="66">
        <v>5036644</v>
      </c>
      <c r="C31" s="67" t="s">
        <v>335</v>
      </c>
      <c r="D31" s="68">
        <v>212.02</v>
      </c>
      <c r="E31" s="71">
        <v>1183</v>
      </c>
      <c r="F31" s="68"/>
      <c r="G31" s="71"/>
      <c r="H31" s="68"/>
      <c r="I31" s="71"/>
      <c r="J31" s="67" t="s">
        <v>33</v>
      </c>
      <c r="K31" s="65"/>
    </row>
    <row r="32" spans="1:11" s="67" customFormat="1" ht="30" x14ac:dyDescent="0.25">
      <c r="A32" s="65" t="s">
        <v>127</v>
      </c>
      <c r="B32" s="66">
        <v>5020429</v>
      </c>
      <c r="C32" s="67" t="s">
        <v>335</v>
      </c>
      <c r="D32" s="68">
        <v>22.21</v>
      </c>
      <c r="E32" s="71">
        <v>150</v>
      </c>
      <c r="F32" s="68"/>
      <c r="G32" s="71"/>
      <c r="H32" s="68"/>
      <c r="I32" s="71"/>
      <c r="J32" s="67" t="s">
        <v>33</v>
      </c>
      <c r="K32" s="65"/>
    </row>
    <row r="33" spans="1:11" s="67" customFormat="1" ht="45" x14ac:dyDescent="0.25">
      <c r="A33" s="65" t="s">
        <v>125</v>
      </c>
      <c r="B33" s="66">
        <v>6722734</v>
      </c>
      <c r="C33" s="67" t="s">
        <v>335</v>
      </c>
      <c r="D33" s="68">
        <v>213.79</v>
      </c>
      <c r="E33" s="71">
        <v>1144</v>
      </c>
      <c r="F33" s="68"/>
      <c r="G33" s="71"/>
      <c r="H33" s="68"/>
      <c r="I33" s="71"/>
      <c r="J33" s="67" t="s">
        <v>33</v>
      </c>
      <c r="K33" s="65"/>
    </row>
    <row r="34" spans="1:11" s="67" customFormat="1" ht="30" x14ac:dyDescent="0.25">
      <c r="A34" s="65" t="s">
        <v>126</v>
      </c>
      <c r="B34" s="80">
        <v>5037202</v>
      </c>
      <c r="C34" s="67" t="s">
        <v>335</v>
      </c>
      <c r="D34" s="68">
        <v>167.15</v>
      </c>
      <c r="E34" s="71">
        <v>1853</v>
      </c>
      <c r="F34" s="68"/>
      <c r="G34" s="71"/>
      <c r="H34" s="68"/>
      <c r="I34" s="71"/>
      <c r="J34" s="67" t="s">
        <v>33</v>
      </c>
      <c r="K34" s="65"/>
    </row>
    <row r="35" spans="1:11" s="67" customFormat="1" ht="30" x14ac:dyDescent="0.25">
      <c r="A35" s="65" t="s">
        <v>128</v>
      </c>
      <c r="B35" s="66">
        <v>5037326</v>
      </c>
      <c r="C35" s="67" t="s">
        <v>312</v>
      </c>
      <c r="D35" s="68">
        <v>140.34</v>
      </c>
      <c r="E35" s="71">
        <v>1528</v>
      </c>
      <c r="F35" s="68"/>
      <c r="G35" s="71"/>
      <c r="H35" s="68"/>
      <c r="I35" s="71"/>
      <c r="J35" s="67" t="s">
        <v>33</v>
      </c>
      <c r="K35" s="65"/>
    </row>
    <row r="36" spans="1:11" s="15" customFormat="1" x14ac:dyDescent="0.25">
      <c r="A36" s="16" t="s">
        <v>37</v>
      </c>
      <c r="B36" s="18">
        <v>5064854</v>
      </c>
      <c r="C36" s="15" t="s">
        <v>335</v>
      </c>
      <c r="D36" s="17">
        <v>791.51</v>
      </c>
      <c r="E36" s="64">
        <v>9000</v>
      </c>
      <c r="F36" s="17"/>
      <c r="G36" s="64"/>
      <c r="H36" s="17"/>
      <c r="I36" s="64"/>
      <c r="J36" s="15" t="s">
        <v>33</v>
      </c>
      <c r="K36" s="16"/>
    </row>
    <row r="37" spans="1:11" s="15" customFormat="1" ht="30" x14ac:dyDescent="0.25">
      <c r="A37" s="16" t="s">
        <v>32</v>
      </c>
      <c r="B37" s="18">
        <v>5021826</v>
      </c>
      <c r="C37" s="15" t="s">
        <v>335</v>
      </c>
      <c r="D37" s="17">
        <v>50.94</v>
      </c>
      <c r="E37" s="64">
        <v>432</v>
      </c>
      <c r="F37" s="17"/>
      <c r="G37" s="64"/>
      <c r="H37" s="17"/>
      <c r="I37" s="64"/>
      <c r="J37" s="15" t="s">
        <v>33</v>
      </c>
      <c r="K37" s="16"/>
    </row>
    <row r="38" spans="1:11" s="67" customFormat="1" ht="45" x14ac:dyDescent="0.25">
      <c r="A38" s="65" t="s">
        <v>129</v>
      </c>
      <c r="B38" s="66">
        <v>4964784</v>
      </c>
      <c r="C38" s="67" t="s">
        <v>335</v>
      </c>
      <c r="D38" s="68">
        <v>22.65</v>
      </c>
      <c r="E38" s="71">
        <v>150</v>
      </c>
      <c r="F38" s="68"/>
      <c r="G38" s="71"/>
      <c r="H38" s="68"/>
      <c r="I38" s="71"/>
      <c r="J38" s="67" t="s">
        <v>33</v>
      </c>
      <c r="K38" s="65"/>
    </row>
    <row r="39" spans="1:11" s="15" customFormat="1" ht="30" x14ac:dyDescent="0.25">
      <c r="A39" s="16" t="s">
        <v>254</v>
      </c>
      <c r="B39" s="18">
        <v>4955887</v>
      </c>
      <c r="C39" s="15" t="s">
        <v>334</v>
      </c>
      <c r="D39" s="17">
        <v>25.73</v>
      </c>
      <c r="E39" s="64">
        <v>140</v>
      </c>
      <c r="F39" s="17"/>
      <c r="G39" s="64"/>
      <c r="H39" s="17"/>
      <c r="I39" s="64"/>
      <c r="J39" s="15" t="s">
        <v>33</v>
      </c>
      <c r="K39" s="16"/>
    </row>
    <row r="40" spans="1:11" s="67" customFormat="1" ht="30" x14ac:dyDescent="0.25">
      <c r="A40" s="65" t="s">
        <v>64</v>
      </c>
      <c r="B40" s="66">
        <v>4932391</v>
      </c>
      <c r="C40" s="67" t="s">
        <v>334</v>
      </c>
      <c r="D40" s="68">
        <v>372.78</v>
      </c>
      <c r="E40" s="71">
        <v>3478</v>
      </c>
      <c r="F40" s="68"/>
      <c r="G40" s="71"/>
      <c r="H40" s="68"/>
      <c r="I40" s="71"/>
      <c r="J40" s="67" t="s">
        <v>33</v>
      </c>
      <c r="K40" s="65"/>
    </row>
    <row r="41" spans="1:11" s="15" customFormat="1" ht="30" x14ac:dyDescent="0.25">
      <c r="A41" s="16" t="s">
        <v>28</v>
      </c>
      <c r="B41" s="18">
        <v>5265050</v>
      </c>
      <c r="C41" s="15" t="s">
        <v>336</v>
      </c>
      <c r="D41" s="17">
        <v>22.65</v>
      </c>
      <c r="E41" s="64">
        <v>150</v>
      </c>
      <c r="F41" s="17"/>
      <c r="G41" s="64"/>
      <c r="H41" s="17"/>
      <c r="I41" s="64"/>
      <c r="J41" s="15" t="s">
        <v>33</v>
      </c>
      <c r="K41" s="16"/>
    </row>
    <row r="42" spans="1:11" s="15" customFormat="1" ht="30" x14ac:dyDescent="0.25">
      <c r="A42" s="16" t="s">
        <v>29</v>
      </c>
      <c r="B42" s="18">
        <v>5265019</v>
      </c>
      <c r="C42" s="15" t="s">
        <v>336</v>
      </c>
      <c r="D42" s="17">
        <v>16.079999999999998</v>
      </c>
      <c r="E42" s="64">
        <v>70</v>
      </c>
      <c r="F42" s="17"/>
      <c r="G42" s="64"/>
      <c r="H42" s="17"/>
      <c r="I42" s="64"/>
      <c r="J42" s="15" t="s">
        <v>33</v>
      </c>
      <c r="K42" s="16"/>
    </row>
    <row r="43" spans="1:11" s="67" customFormat="1" ht="30" x14ac:dyDescent="0.25">
      <c r="A43" s="65" t="s">
        <v>243</v>
      </c>
      <c r="B43" s="66">
        <v>4426005</v>
      </c>
      <c r="C43" s="67" t="s">
        <v>336</v>
      </c>
      <c r="D43" s="68">
        <v>1257.07</v>
      </c>
      <c r="E43" s="71">
        <v>11100</v>
      </c>
      <c r="F43" s="68"/>
      <c r="G43" s="71"/>
      <c r="H43" s="68"/>
      <c r="I43" s="71"/>
      <c r="J43" s="67" t="s">
        <v>33</v>
      </c>
      <c r="K43" s="65"/>
    </row>
    <row r="44" spans="1:11" s="67" customFormat="1" ht="30" x14ac:dyDescent="0.25">
      <c r="A44" s="65" t="s">
        <v>22</v>
      </c>
      <c r="B44" s="66">
        <v>5264554</v>
      </c>
      <c r="C44" s="67" t="s">
        <v>336</v>
      </c>
      <c r="D44" s="68">
        <v>25.73</v>
      </c>
      <c r="E44" s="71">
        <v>140</v>
      </c>
      <c r="F44" s="68"/>
      <c r="G44" s="71"/>
      <c r="H44" s="68"/>
      <c r="I44" s="71"/>
      <c r="J44" s="67" t="s">
        <v>33</v>
      </c>
      <c r="K44" s="65"/>
    </row>
    <row r="45" spans="1:11" s="67" customFormat="1" ht="30" x14ac:dyDescent="0.25">
      <c r="A45" s="65" t="s">
        <v>241</v>
      </c>
      <c r="B45" s="66">
        <v>4912148</v>
      </c>
      <c r="C45" s="67" t="s">
        <v>336</v>
      </c>
      <c r="D45" s="68">
        <v>300.35000000000002</v>
      </c>
      <c r="E45" s="71">
        <v>1260</v>
      </c>
      <c r="F45" s="68"/>
      <c r="G45" s="71"/>
      <c r="H45" s="68"/>
      <c r="I45" s="71"/>
      <c r="J45" s="67" t="s">
        <v>33</v>
      </c>
      <c r="K45" s="65"/>
    </row>
    <row r="46" spans="1:11" s="67" customFormat="1" ht="30" x14ac:dyDescent="0.25">
      <c r="A46" s="65" t="s">
        <v>242</v>
      </c>
      <c r="B46" s="66">
        <v>4426036</v>
      </c>
      <c r="C46" s="67" t="s">
        <v>336</v>
      </c>
      <c r="D46" s="68">
        <v>364.83</v>
      </c>
      <c r="E46" s="71">
        <v>2100</v>
      </c>
      <c r="F46" s="68"/>
      <c r="G46" s="71"/>
      <c r="H46" s="68"/>
      <c r="I46" s="71"/>
      <c r="J46" s="67" t="s">
        <v>33</v>
      </c>
      <c r="K46" s="65"/>
    </row>
    <row r="47" spans="1:11" s="67" customFormat="1" x14ac:dyDescent="0.25">
      <c r="A47" s="65" t="s">
        <v>34</v>
      </c>
      <c r="B47" s="66">
        <v>5028615</v>
      </c>
      <c r="C47" s="67" t="s">
        <v>336</v>
      </c>
      <c r="D47" s="68">
        <v>1406.09</v>
      </c>
      <c r="E47" s="71">
        <v>15160</v>
      </c>
      <c r="F47" s="68"/>
      <c r="G47" s="71"/>
      <c r="H47" s="68"/>
      <c r="I47" s="71"/>
      <c r="J47" s="67" t="s">
        <v>33</v>
      </c>
      <c r="K47" s="65"/>
    </row>
    <row r="48" spans="1:11" s="15" customFormat="1" ht="30" x14ac:dyDescent="0.25">
      <c r="A48" s="16" t="s">
        <v>47</v>
      </c>
      <c r="B48" s="18">
        <v>4914628</v>
      </c>
      <c r="C48" s="15" t="s">
        <v>336</v>
      </c>
      <c r="D48" s="17">
        <v>893.31</v>
      </c>
      <c r="E48" s="64">
        <v>9890</v>
      </c>
      <c r="F48" s="17"/>
      <c r="G48" s="64"/>
      <c r="H48" s="17"/>
      <c r="I48" s="64"/>
      <c r="J48" s="15" t="s">
        <v>33</v>
      </c>
      <c r="K48" s="16"/>
    </row>
    <row r="49" spans="1:11" s="15" customFormat="1" ht="30" x14ac:dyDescent="0.25">
      <c r="A49" s="16" t="s">
        <v>46</v>
      </c>
      <c r="B49" s="18">
        <v>5027654</v>
      </c>
      <c r="C49" s="15" t="s">
        <v>336</v>
      </c>
      <c r="D49" s="17">
        <v>430.81</v>
      </c>
      <c r="E49" s="64">
        <v>4150</v>
      </c>
      <c r="F49" s="17"/>
      <c r="G49" s="64"/>
      <c r="H49" s="17"/>
      <c r="I49" s="64"/>
      <c r="J49" s="15" t="s">
        <v>33</v>
      </c>
      <c r="K49" s="16"/>
    </row>
    <row r="50" spans="1:11" s="15" customFormat="1" ht="30" x14ac:dyDescent="0.25">
      <c r="A50" s="16" t="s">
        <v>48</v>
      </c>
      <c r="B50" s="18">
        <v>5262911</v>
      </c>
      <c r="C50" s="15" t="s">
        <v>336</v>
      </c>
      <c r="D50" s="17">
        <v>16.079999999999998</v>
      </c>
      <c r="E50" s="64">
        <v>70</v>
      </c>
      <c r="F50" s="17"/>
      <c r="G50" s="64"/>
      <c r="H50" s="17"/>
      <c r="I50" s="64"/>
      <c r="J50" s="15" t="s">
        <v>33</v>
      </c>
      <c r="K50" s="16"/>
    </row>
    <row r="51" spans="1:11" s="67" customFormat="1" ht="30" x14ac:dyDescent="0.25">
      <c r="A51" s="65" t="s">
        <v>244</v>
      </c>
      <c r="B51" s="66">
        <v>8184322</v>
      </c>
      <c r="C51" s="67" t="s">
        <v>336</v>
      </c>
      <c r="D51" s="68">
        <v>611.72</v>
      </c>
      <c r="E51" s="71">
        <v>3520</v>
      </c>
      <c r="F51" s="68"/>
      <c r="G51" s="71"/>
      <c r="H51" s="68"/>
      <c r="I51" s="71"/>
      <c r="J51" s="67" t="s">
        <v>33</v>
      </c>
      <c r="K51" s="65"/>
    </row>
    <row r="52" spans="1:11" s="67" customFormat="1" ht="30" x14ac:dyDescent="0.25">
      <c r="A52" s="65" t="s">
        <v>38</v>
      </c>
      <c r="B52" s="66">
        <v>5231911</v>
      </c>
      <c r="C52" s="67" t="s">
        <v>336</v>
      </c>
      <c r="D52" s="68">
        <v>22.65</v>
      </c>
      <c r="E52" s="71">
        <v>150</v>
      </c>
      <c r="F52" s="68"/>
      <c r="G52" s="71"/>
      <c r="H52" s="68"/>
      <c r="I52" s="71"/>
      <c r="J52" s="67" t="s">
        <v>33</v>
      </c>
      <c r="K52" s="65"/>
    </row>
    <row r="53" spans="1:11" s="67" customFormat="1" ht="30" x14ac:dyDescent="0.25">
      <c r="A53" s="65" t="s">
        <v>17</v>
      </c>
      <c r="B53" s="66">
        <v>8934894</v>
      </c>
      <c r="C53" s="67" t="s">
        <v>336</v>
      </c>
      <c r="D53" s="68">
        <v>34.909999999999997</v>
      </c>
      <c r="E53" s="71">
        <v>238</v>
      </c>
      <c r="F53" s="68"/>
      <c r="G53" s="71"/>
      <c r="H53" s="68"/>
      <c r="I53" s="71"/>
      <c r="J53" s="67" t="s">
        <v>33</v>
      </c>
      <c r="K53" s="65"/>
    </row>
    <row r="54" spans="1:11" s="15" customFormat="1" ht="30" x14ac:dyDescent="0.25">
      <c r="A54" s="16" t="s">
        <v>240</v>
      </c>
      <c r="B54" s="18">
        <v>5031405</v>
      </c>
      <c r="C54" s="15" t="s">
        <v>336</v>
      </c>
      <c r="D54" s="17">
        <v>1914.62</v>
      </c>
      <c r="E54" s="64">
        <v>21000</v>
      </c>
      <c r="F54" s="17"/>
      <c r="G54" s="64"/>
      <c r="H54" s="17"/>
      <c r="I54" s="64"/>
      <c r="J54" s="15" t="s">
        <v>33</v>
      </c>
      <c r="K54" s="16"/>
    </row>
    <row r="55" spans="1:11" s="15" customFormat="1" ht="30" x14ac:dyDescent="0.25">
      <c r="A55" s="16" t="s">
        <v>26</v>
      </c>
      <c r="B55" s="18">
        <v>149091</v>
      </c>
      <c r="C55" s="15" t="s">
        <v>336</v>
      </c>
      <c r="D55" s="17">
        <v>18.84</v>
      </c>
      <c r="E55" s="64">
        <v>80</v>
      </c>
      <c r="F55" s="17"/>
      <c r="G55" s="64"/>
      <c r="H55" s="17"/>
      <c r="I55" s="64"/>
      <c r="J55" s="15" t="s">
        <v>33</v>
      </c>
      <c r="K55" s="16"/>
    </row>
    <row r="56" spans="1:11" s="15" customFormat="1" ht="30" x14ac:dyDescent="0.25">
      <c r="A56" s="16" t="s">
        <v>30</v>
      </c>
      <c r="B56" s="18">
        <v>4914473</v>
      </c>
      <c r="C56" s="15" t="s">
        <v>336</v>
      </c>
      <c r="D56" s="17">
        <v>2055.58</v>
      </c>
      <c r="E56" s="64">
        <v>23580</v>
      </c>
      <c r="F56" s="17"/>
      <c r="G56" s="64"/>
      <c r="H56" s="17"/>
      <c r="I56" s="64"/>
      <c r="J56" s="15" t="s">
        <v>33</v>
      </c>
      <c r="K56" s="16"/>
    </row>
    <row r="57" spans="1:11" s="67" customFormat="1" ht="30" x14ac:dyDescent="0.25">
      <c r="A57" s="65" t="s">
        <v>244</v>
      </c>
      <c r="B57" s="66">
        <v>117936</v>
      </c>
      <c r="C57" s="67" t="s">
        <v>336</v>
      </c>
      <c r="D57" s="68">
        <v>136.13999999999999</v>
      </c>
      <c r="E57" s="71">
        <v>440</v>
      </c>
      <c r="F57" s="68"/>
      <c r="G57" s="71"/>
      <c r="H57" s="68"/>
      <c r="I57" s="71"/>
      <c r="J57" s="67" t="s">
        <v>33</v>
      </c>
      <c r="K57" s="65"/>
    </row>
    <row r="58" spans="1:11" s="67" customFormat="1" ht="60" x14ac:dyDescent="0.25">
      <c r="A58" s="65" t="s">
        <v>153</v>
      </c>
      <c r="B58" s="66">
        <v>8327232</v>
      </c>
      <c r="C58" s="67" t="s">
        <v>334</v>
      </c>
      <c r="D58" s="68">
        <v>38.74</v>
      </c>
      <c r="E58" s="71">
        <v>0</v>
      </c>
      <c r="F58" s="68"/>
      <c r="G58" s="71"/>
      <c r="H58" s="68"/>
      <c r="I58" s="71"/>
      <c r="J58" s="67" t="s">
        <v>33</v>
      </c>
      <c r="K58" s="65"/>
    </row>
    <row r="59" spans="1:11" s="67" customFormat="1" ht="30" x14ac:dyDescent="0.25">
      <c r="A59" s="65" t="s">
        <v>255</v>
      </c>
      <c r="B59" s="66">
        <v>6973803</v>
      </c>
      <c r="C59" s="67" t="s">
        <v>334</v>
      </c>
      <c r="D59" s="68">
        <v>14.6</v>
      </c>
      <c r="E59" s="71">
        <v>0</v>
      </c>
      <c r="F59" s="68"/>
      <c r="G59" s="71"/>
      <c r="H59" s="68"/>
      <c r="I59" s="71"/>
      <c r="J59" s="67" t="s">
        <v>33</v>
      </c>
      <c r="K59" s="65"/>
    </row>
    <row r="60" spans="1:11" s="67" customFormat="1" ht="30" x14ac:dyDescent="0.25">
      <c r="A60" s="65" t="s">
        <v>150</v>
      </c>
      <c r="B60" s="66">
        <v>7480591</v>
      </c>
      <c r="C60" s="67" t="s">
        <v>334</v>
      </c>
      <c r="D60" s="68">
        <v>1395.74</v>
      </c>
      <c r="E60" s="71">
        <v>17572</v>
      </c>
      <c r="F60" s="68"/>
      <c r="G60" s="71"/>
      <c r="H60" s="68"/>
      <c r="I60" s="71"/>
      <c r="J60" s="67" t="s">
        <v>33</v>
      </c>
      <c r="K60" s="65"/>
    </row>
    <row r="61" spans="1:11" s="67" customFormat="1" ht="30" x14ac:dyDescent="0.25">
      <c r="A61" s="65" t="s">
        <v>253</v>
      </c>
      <c r="B61" s="66">
        <v>4934809</v>
      </c>
      <c r="C61" s="67" t="s">
        <v>333</v>
      </c>
      <c r="D61" s="68">
        <v>30</v>
      </c>
      <c r="E61" s="71">
        <v>180</v>
      </c>
      <c r="F61" s="68"/>
      <c r="G61" s="71"/>
      <c r="H61" s="68"/>
      <c r="I61" s="71"/>
      <c r="J61" s="67" t="s">
        <v>33</v>
      </c>
      <c r="K61" s="65"/>
    </row>
    <row r="62" spans="1:11" s="67" customFormat="1" ht="30" x14ac:dyDescent="0.25">
      <c r="A62" s="65" t="s">
        <v>152</v>
      </c>
      <c r="B62" s="66">
        <v>9498071</v>
      </c>
      <c r="C62" s="67" t="s">
        <v>333</v>
      </c>
      <c r="D62" s="68">
        <v>323.17</v>
      </c>
      <c r="E62" s="71">
        <v>1280</v>
      </c>
      <c r="F62" s="68"/>
      <c r="G62" s="71"/>
      <c r="H62" s="68"/>
      <c r="I62" s="71"/>
      <c r="J62" s="67" t="s">
        <v>33</v>
      </c>
      <c r="K62" s="65"/>
    </row>
    <row r="63" spans="1:11" s="67" customFormat="1" ht="30" x14ac:dyDescent="0.25">
      <c r="A63" s="65" t="s">
        <v>245</v>
      </c>
      <c r="B63" s="66">
        <v>4962800</v>
      </c>
      <c r="C63" s="67" t="s">
        <v>333</v>
      </c>
      <c r="D63" s="68">
        <v>27.3</v>
      </c>
      <c r="E63" s="71">
        <v>160</v>
      </c>
      <c r="F63" s="68"/>
      <c r="G63" s="71"/>
      <c r="H63" s="68"/>
      <c r="I63" s="71"/>
      <c r="J63" s="67" t="s">
        <v>33</v>
      </c>
      <c r="K63" s="65"/>
    </row>
    <row r="64" spans="1:11" s="67" customFormat="1" ht="30" x14ac:dyDescent="0.25">
      <c r="A64" s="65" t="s">
        <v>151</v>
      </c>
      <c r="B64" s="66">
        <v>710315</v>
      </c>
      <c r="C64" s="67" t="s">
        <v>333</v>
      </c>
      <c r="D64" s="68">
        <v>14.6</v>
      </c>
      <c r="E64" s="71">
        <v>0</v>
      </c>
      <c r="F64" s="68"/>
      <c r="G64" s="71"/>
      <c r="H64" s="68"/>
      <c r="I64" s="71"/>
      <c r="J64" s="67" t="s">
        <v>33</v>
      </c>
      <c r="K64" s="65"/>
    </row>
    <row r="65" spans="1:11" s="67" customFormat="1" ht="30" x14ac:dyDescent="0.25">
      <c r="A65" s="65" t="s">
        <v>24</v>
      </c>
      <c r="B65" s="66">
        <v>4892432</v>
      </c>
      <c r="C65" s="67" t="s">
        <v>330</v>
      </c>
      <c r="D65" s="68">
        <v>121.18</v>
      </c>
      <c r="E65" s="71">
        <v>477</v>
      </c>
      <c r="F65" s="68"/>
      <c r="G65" s="71"/>
      <c r="H65" s="68"/>
      <c r="I65" s="71"/>
      <c r="J65" s="67" t="s">
        <v>33</v>
      </c>
      <c r="K65" s="65"/>
    </row>
    <row r="66" spans="1:11" s="67" customFormat="1" ht="30" x14ac:dyDescent="0.25">
      <c r="A66" s="65" t="s">
        <v>21</v>
      </c>
      <c r="B66" s="66">
        <v>4968878</v>
      </c>
      <c r="C66" s="67" t="s">
        <v>330</v>
      </c>
      <c r="D66" s="68">
        <v>82.76</v>
      </c>
      <c r="E66" s="71">
        <v>819</v>
      </c>
      <c r="F66" s="68"/>
      <c r="G66" s="71"/>
      <c r="H66" s="68"/>
      <c r="I66" s="71"/>
      <c r="J66" s="67" t="s">
        <v>33</v>
      </c>
      <c r="K66" s="65"/>
    </row>
    <row r="67" spans="1:11" s="15" customFormat="1" ht="30" x14ac:dyDescent="0.25">
      <c r="A67" s="16" t="s">
        <v>31</v>
      </c>
      <c r="B67" s="18">
        <v>5041139</v>
      </c>
      <c r="C67" s="15" t="s">
        <v>330</v>
      </c>
      <c r="D67" s="17">
        <v>145.4</v>
      </c>
      <c r="E67" s="64">
        <v>1572</v>
      </c>
      <c r="F67" s="17"/>
      <c r="G67" s="64"/>
      <c r="H67" s="17"/>
      <c r="I67" s="64"/>
      <c r="J67" s="15" t="s">
        <v>33</v>
      </c>
      <c r="K67" s="16"/>
    </row>
    <row r="68" spans="1:11" s="67" customFormat="1" ht="30" x14ac:dyDescent="0.25">
      <c r="A68" s="65" t="s">
        <v>256</v>
      </c>
      <c r="B68" s="66">
        <v>5276024</v>
      </c>
      <c r="C68" s="67" t="s">
        <v>330</v>
      </c>
      <c r="D68" s="68">
        <v>22.65</v>
      </c>
      <c r="E68" s="71">
        <v>150</v>
      </c>
      <c r="F68" s="68"/>
      <c r="G68" s="71"/>
      <c r="H68" s="68"/>
      <c r="I68" s="71"/>
      <c r="J68" s="67" t="s">
        <v>33</v>
      </c>
      <c r="K68" s="65"/>
    </row>
    <row r="69" spans="1:11" s="67" customFormat="1" x14ac:dyDescent="0.25">
      <c r="A69" s="65" t="s">
        <v>250</v>
      </c>
      <c r="B69" s="79">
        <v>7391</v>
      </c>
      <c r="C69" s="67" t="s">
        <v>330</v>
      </c>
      <c r="D69" s="68">
        <v>17.25</v>
      </c>
      <c r="E69" s="71">
        <v>39</v>
      </c>
      <c r="F69" s="68"/>
      <c r="G69" s="71"/>
      <c r="H69" s="68"/>
      <c r="I69" s="71"/>
      <c r="J69" s="67" t="s">
        <v>33</v>
      </c>
      <c r="K69" s="65"/>
    </row>
    <row r="70" spans="1:11" s="67" customFormat="1" x14ac:dyDescent="0.25">
      <c r="A70" s="65" t="s">
        <v>250</v>
      </c>
      <c r="B70" s="79">
        <v>7422</v>
      </c>
      <c r="C70" s="67" t="s">
        <v>330</v>
      </c>
      <c r="D70" s="68">
        <v>14.6</v>
      </c>
      <c r="E70" s="71">
        <v>0</v>
      </c>
      <c r="F70" s="68"/>
      <c r="G70" s="71"/>
      <c r="H70" s="68"/>
      <c r="I70" s="71"/>
      <c r="J70" s="67" t="s">
        <v>33</v>
      </c>
      <c r="K70" s="65"/>
    </row>
    <row r="71" spans="1:11" ht="45" x14ac:dyDescent="0.25">
      <c r="A71" s="20" t="s">
        <v>49</v>
      </c>
      <c r="B71" s="21"/>
      <c r="D71" s="7"/>
      <c r="F71" s="7"/>
      <c r="H71" s="7"/>
      <c r="K71" s="13"/>
    </row>
    <row r="72" spans="1:11" s="67" customFormat="1" ht="60" x14ac:dyDescent="0.25">
      <c r="A72" s="65" t="s">
        <v>51</v>
      </c>
      <c r="B72" s="66" t="s">
        <v>208</v>
      </c>
      <c r="C72" s="67" t="s">
        <v>326</v>
      </c>
      <c r="D72" s="68">
        <v>428</v>
      </c>
      <c r="E72" s="71">
        <v>4295</v>
      </c>
      <c r="F72" s="68"/>
      <c r="G72" s="71"/>
      <c r="H72" s="68"/>
      <c r="I72" s="71"/>
      <c r="J72" s="67" t="s">
        <v>33</v>
      </c>
      <c r="K72" s="65"/>
    </row>
    <row r="73" spans="1:11" s="67" customFormat="1" ht="60" x14ac:dyDescent="0.25">
      <c r="A73" s="65" t="s">
        <v>52</v>
      </c>
      <c r="B73" s="66" t="s">
        <v>209</v>
      </c>
      <c r="C73" s="67" t="s">
        <v>326</v>
      </c>
      <c r="D73" s="68">
        <v>151</v>
      </c>
      <c r="E73" s="71">
        <v>1269</v>
      </c>
      <c r="F73" s="68"/>
      <c r="G73" s="71"/>
      <c r="H73" s="68"/>
      <c r="I73" s="71"/>
      <c r="J73" s="67" t="s">
        <v>33</v>
      </c>
      <c r="K73" s="65"/>
    </row>
    <row r="74" spans="1:11" s="67" customFormat="1" ht="75" x14ac:dyDescent="0.25">
      <c r="A74" s="65" t="s">
        <v>54</v>
      </c>
      <c r="B74" s="66" t="s">
        <v>210</v>
      </c>
      <c r="C74" s="67" t="s">
        <v>326</v>
      </c>
      <c r="D74" s="68">
        <v>61</v>
      </c>
      <c r="E74" s="71">
        <v>316</v>
      </c>
      <c r="F74" s="68"/>
      <c r="G74" s="71"/>
      <c r="H74" s="68"/>
      <c r="I74" s="71"/>
      <c r="J74" s="67" t="s">
        <v>33</v>
      </c>
      <c r="K74" s="65"/>
    </row>
    <row r="75" spans="1:11" s="67" customFormat="1" ht="45" x14ac:dyDescent="0.25">
      <c r="A75" s="65" t="s">
        <v>55</v>
      </c>
      <c r="B75" s="66" t="s">
        <v>212</v>
      </c>
      <c r="C75" s="67" t="s">
        <v>326</v>
      </c>
      <c r="D75" s="68">
        <v>28</v>
      </c>
      <c r="E75" s="71">
        <v>97</v>
      </c>
      <c r="F75" s="68"/>
      <c r="G75" s="71"/>
      <c r="H75" s="68"/>
      <c r="I75" s="71"/>
      <c r="J75" s="67" t="s">
        <v>33</v>
      </c>
      <c r="K75" s="65"/>
    </row>
    <row r="76" spans="1:11" s="67" customFormat="1" ht="45" x14ac:dyDescent="0.25">
      <c r="A76" s="65" t="s">
        <v>56</v>
      </c>
      <c r="B76" s="66" t="s">
        <v>213</v>
      </c>
      <c r="C76" s="67" t="s">
        <v>326</v>
      </c>
      <c r="D76" s="68">
        <v>26</v>
      </c>
      <c r="E76" s="71">
        <v>75</v>
      </c>
      <c r="F76" s="68"/>
      <c r="G76" s="71"/>
      <c r="H76" s="68"/>
      <c r="I76" s="71"/>
      <c r="J76" s="67" t="s">
        <v>33</v>
      </c>
      <c r="K76" s="65"/>
    </row>
    <row r="77" spans="1:11" s="67" customFormat="1" ht="45" x14ac:dyDescent="0.25">
      <c r="A77" s="65" t="s">
        <v>57</v>
      </c>
      <c r="B77" s="66" t="s">
        <v>214</v>
      </c>
      <c r="C77" s="67" t="s">
        <v>326</v>
      </c>
      <c r="D77" s="68">
        <v>230</v>
      </c>
      <c r="E77" s="71">
        <v>2094</v>
      </c>
      <c r="F77" s="68"/>
      <c r="G77" s="71"/>
      <c r="H77" s="68"/>
      <c r="I77" s="71"/>
      <c r="J77" s="67" t="s">
        <v>33</v>
      </c>
      <c r="K77" s="65"/>
    </row>
    <row r="78" spans="1:11" s="67" customFormat="1" ht="45" x14ac:dyDescent="0.25">
      <c r="A78" s="65" t="s">
        <v>58</v>
      </c>
      <c r="B78" s="66" t="s">
        <v>215</v>
      </c>
      <c r="C78" s="67" t="s">
        <v>326</v>
      </c>
      <c r="D78" s="68">
        <v>155</v>
      </c>
      <c r="E78" s="71">
        <v>1434</v>
      </c>
      <c r="F78" s="68"/>
      <c r="G78" s="71"/>
      <c r="H78" s="68"/>
      <c r="I78" s="71"/>
      <c r="J78" s="67" t="s">
        <v>33</v>
      </c>
      <c r="K78" s="65"/>
    </row>
    <row r="79" spans="1:11" s="67" customFormat="1" ht="45" x14ac:dyDescent="0.25">
      <c r="A79" s="65" t="s">
        <v>59</v>
      </c>
      <c r="B79" s="66" t="s">
        <v>216</v>
      </c>
      <c r="C79" s="67" t="s">
        <v>326</v>
      </c>
      <c r="D79" s="68">
        <v>43</v>
      </c>
      <c r="E79" s="71">
        <v>256</v>
      </c>
      <c r="F79" s="68"/>
      <c r="G79" s="71"/>
      <c r="H79" s="68"/>
      <c r="I79" s="71"/>
      <c r="J79" s="67" t="s">
        <v>33</v>
      </c>
      <c r="K79" s="65"/>
    </row>
    <row r="80" spans="1:11" s="67" customFormat="1" ht="45" x14ac:dyDescent="0.25">
      <c r="A80" s="65" t="s">
        <v>60</v>
      </c>
      <c r="B80" s="66" t="s">
        <v>217</v>
      </c>
      <c r="C80" s="67" t="s">
        <v>326</v>
      </c>
      <c r="D80" s="68">
        <v>39</v>
      </c>
      <c r="E80" s="71">
        <v>86</v>
      </c>
      <c r="F80" s="68"/>
      <c r="G80" s="71"/>
      <c r="H80" s="68"/>
      <c r="I80" s="71"/>
      <c r="J80" s="67" t="s">
        <v>33</v>
      </c>
      <c r="K80" s="65"/>
    </row>
    <row r="81" spans="1:11" s="67" customFormat="1" ht="30" x14ac:dyDescent="0.25">
      <c r="A81" s="65" t="s">
        <v>61</v>
      </c>
      <c r="B81" s="66" t="s">
        <v>218</v>
      </c>
      <c r="C81" s="67" t="s">
        <v>326</v>
      </c>
      <c r="D81" s="68">
        <v>19</v>
      </c>
      <c r="E81" s="71">
        <v>2</v>
      </c>
      <c r="F81" s="68"/>
      <c r="G81" s="71"/>
      <c r="H81" s="68"/>
      <c r="I81" s="71"/>
      <c r="J81" s="67" t="s">
        <v>33</v>
      </c>
      <c r="K81" s="65"/>
    </row>
    <row r="82" spans="1:11" s="67" customFormat="1" ht="45" x14ac:dyDescent="0.25">
      <c r="A82" s="65" t="s">
        <v>62</v>
      </c>
      <c r="B82" s="66" t="s">
        <v>219</v>
      </c>
      <c r="C82" s="67" t="s">
        <v>326</v>
      </c>
      <c r="D82" s="68">
        <v>25</v>
      </c>
      <c r="E82" s="71">
        <v>61</v>
      </c>
      <c r="F82" s="68"/>
      <c r="G82" s="71"/>
      <c r="H82" s="68"/>
      <c r="I82" s="71"/>
      <c r="J82" s="67" t="s">
        <v>33</v>
      </c>
      <c r="K82" s="65"/>
    </row>
    <row r="83" spans="1:11" s="67" customFormat="1" ht="30" x14ac:dyDescent="0.25">
      <c r="A83" s="65" t="s">
        <v>94</v>
      </c>
      <c r="B83" s="66" t="s">
        <v>201</v>
      </c>
      <c r="C83" s="67" t="s">
        <v>326</v>
      </c>
      <c r="D83" s="68">
        <v>38</v>
      </c>
      <c r="E83" s="71">
        <v>2</v>
      </c>
      <c r="F83" s="68"/>
      <c r="G83" s="71"/>
      <c r="H83" s="68"/>
      <c r="I83" s="71"/>
      <c r="J83" s="67" t="s">
        <v>33</v>
      </c>
      <c r="K83" s="65"/>
    </row>
    <row r="84" spans="1:11" s="67" customFormat="1" ht="30" x14ac:dyDescent="0.25">
      <c r="A84" s="65" t="s">
        <v>95</v>
      </c>
      <c r="B84" s="66" t="s">
        <v>202</v>
      </c>
      <c r="C84" s="67" t="s">
        <v>326</v>
      </c>
      <c r="D84" s="68">
        <v>1566</v>
      </c>
      <c r="E84" s="71">
        <v>15480</v>
      </c>
      <c r="F84" s="68"/>
      <c r="G84" s="71"/>
      <c r="H84" s="68"/>
      <c r="I84" s="71"/>
      <c r="J84" s="67" t="s">
        <v>33</v>
      </c>
      <c r="K84" s="65"/>
    </row>
    <row r="85" spans="1:11" s="67" customFormat="1" ht="30" x14ac:dyDescent="0.25">
      <c r="A85" s="65" t="s">
        <v>96</v>
      </c>
      <c r="B85" s="66" t="s">
        <v>203</v>
      </c>
      <c r="C85" s="67" t="s">
        <v>326</v>
      </c>
      <c r="D85" s="68">
        <v>195</v>
      </c>
      <c r="E85" s="71">
        <v>1762</v>
      </c>
      <c r="F85" s="68"/>
      <c r="G85" s="71"/>
      <c r="H85" s="68"/>
      <c r="I85" s="71"/>
      <c r="J85" s="67" t="s">
        <v>33</v>
      </c>
      <c r="K85" s="65"/>
    </row>
    <row r="86" spans="1:11" s="67" customFormat="1" ht="45" x14ac:dyDescent="0.25">
      <c r="A86" s="65" t="s">
        <v>97</v>
      </c>
      <c r="B86" s="66" t="s">
        <v>204</v>
      </c>
      <c r="C86" s="67" t="s">
        <v>326</v>
      </c>
      <c r="D86" s="68">
        <v>38</v>
      </c>
      <c r="E86" s="71">
        <v>9</v>
      </c>
      <c r="F86" s="68"/>
      <c r="G86" s="71"/>
      <c r="H86" s="68"/>
      <c r="I86" s="71"/>
      <c r="J86" s="67" t="s">
        <v>33</v>
      </c>
      <c r="K86" s="65"/>
    </row>
    <row r="87" spans="1:11" s="67" customFormat="1" ht="30" x14ac:dyDescent="0.25">
      <c r="A87" s="65" t="s">
        <v>98</v>
      </c>
      <c r="B87" s="66" t="s">
        <v>205</v>
      </c>
      <c r="C87" s="67" t="s">
        <v>326</v>
      </c>
      <c r="D87" s="68">
        <v>19</v>
      </c>
      <c r="E87" s="71">
        <v>0</v>
      </c>
      <c r="F87" s="68"/>
      <c r="G87" s="71"/>
      <c r="H87" s="68"/>
      <c r="I87" s="71"/>
      <c r="J87" s="67" t="s">
        <v>33</v>
      </c>
      <c r="K87" s="65"/>
    </row>
    <row r="88" spans="1:11" s="67" customFormat="1" ht="30" x14ac:dyDescent="0.25">
      <c r="A88" s="65" t="s">
        <v>99</v>
      </c>
      <c r="B88" s="66" t="s">
        <v>206</v>
      </c>
      <c r="C88" s="67" t="s">
        <v>326</v>
      </c>
      <c r="D88" s="68">
        <v>30</v>
      </c>
      <c r="E88" s="71">
        <v>20</v>
      </c>
      <c r="F88" s="68"/>
      <c r="G88" s="71"/>
      <c r="H88" s="68"/>
      <c r="I88" s="71"/>
      <c r="J88" s="67" t="s">
        <v>33</v>
      </c>
      <c r="K88" s="65"/>
    </row>
    <row r="89" spans="1:11" s="67" customFormat="1" ht="30" x14ac:dyDescent="0.25">
      <c r="A89" s="65" t="s">
        <v>100</v>
      </c>
      <c r="B89" s="73">
        <v>1323346600</v>
      </c>
      <c r="C89" s="67" t="s">
        <v>326</v>
      </c>
      <c r="D89" s="68">
        <v>399</v>
      </c>
      <c r="E89" s="71">
        <v>3600</v>
      </c>
      <c r="F89" s="68"/>
      <c r="G89" s="71"/>
      <c r="H89" s="68"/>
      <c r="I89" s="71"/>
      <c r="J89" s="67" t="s">
        <v>33</v>
      </c>
      <c r="K89" s="65"/>
    </row>
    <row r="90" spans="1:11" s="67" customFormat="1" ht="30" x14ac:dyDescent="0.25">
      <c r="A90" s="65" t="s">
        <v>101</v>
      </c>
      <c r="B90" s="73">
        <v>1322699400</v>
      </c>
      <c r="C90" s="67" t="s">
        <v>326</v>
      </c>
      <c r="D90" s="68">
        <v>1181</v>
      </c>
      <c r="E90" s="71">
        <v>3360</v>
      </c>
      <c r="F90" s="68"/>
      <c r="G90" s="71"/>
      <c r="H90" s="68"/>
      <c r="I90" s="71"/>
      <c r="J90" s="67" t="s">
        <v>33</v>
      </c>
      <c r="K90" s="65"/>
    </row>
    <row r="91" spans="1:11" s="67" customFormat="1" ht="30" x14ac:dyDescent="0.25">
      <c r="A91" s="65" t="s">
        <v>102</v>
      </c>
      <c r="B91" s="66" t="s">
        <v>200</v>
      </c>
      <c r="C91" s="67" t="s">
        <v>326</v>
      </c>
      <c r="D91" s="68">
        <v>405</v>
      </c>
      <c r="E91" s="71">
        <v>2176</v>
      </c>
      <c r="F91" s="68"/>
      <c r="G91" s="71"/>
      <c r="H91" s="68"/>
      <c r="I91" s="71"/>
      <c r="J91" s="67" t="s">
        <v>33</v>
      </c>
      <c r="K91" s="65"/>
    </row>
    <row r="92" spans="1:11" s="67" customFormat="1" ht="30" x14ac:dyDescent="0.25">
      <c r="A92" s="65" t="s">
        <v>110</v>
      </c>
      <c r="B92" s="66" t="s">
        <v>207</v>
      </c>
      <c r="C92" s="67" t="s">
        <v>326</v>
      </c>
      <c r="D92" s="68">
        <v>89</v>
      </c>
      <c r="E92" s="71">
        <v>254</v>
      </c>
      <c r="F92" s="68"/>
      <c r="G92" s="71"/>
      <c r="H92" s="68"/>
      <c r="I92" s="71"/>
      <c r="J92" s="67" t="s">
        <v>33</v>
      </c>
      <c r="K92" s="65"/>
    </row>
    <row r="93" spans="1:11" s="67" customFormat="1" ht="30" x14ac:dyDescent="0.25">
      <c r="A93" s="65" t="s">
        <v>111</v>
      </c>
      <c r="B93" s="66" t="s">
        <v>222</v>
      </c>
      <c r="C93" s="67" t="s">
        <v>326</v>
      </c>
      <c r="D93" s="68">
        <v>39</v>
      </c>
      <c r="E93" s="71">
        <v>93</v>
      </c>
      <c r="F93" s="68"/>
      <c r="G93" s="71"/>
      <c r="H93" s="68"/>
      <c r="I93" s="71"/>
      <c r="J93" s="67" t="s">
        <v>33</v>
      </c>
      <c r="K93" s="65"/>
    </row>
    <row r="94" spans="1:11" s="67" customFormat="1" ht="30" x14ac:dyDescent="0.25">
      <c r="A94" s="65" t="s">
        <v>117</v>
      </c>
      <c r="B94" s="66" t="s">
        <v>220</v>
      </c>
      <c r="C94" s="67" t="s">
        <v>326</v>
      </c>
      <c r="D94" s="68">
        <v>87</v>
      </c>
      <c r="E94" s="71">
        <v>537</v>
      </c>
      <c r="F94" s="68"/>
      <c r="G94" s="71"/>
      <c r="H94" s="68"/>
      <c r="I94" s="71"/>
      <c r="J94" s="67" t="s">
        <v>33</v>
      </c>
      <c r="K94" s="65"/>
    </row>
    <row r="95" spans="1:11" s="67" customFormat="1" ht="30" x14ac:dyDescent="0.25">
      <c r="A95" s="65" t="s">
        <v>118</v>
      </c>
      <c r="B95" s="66" t="s">
        <v>221</v>
      </c>
      <c r="C95" s="67" t="s">
        <v>326</v>
      </c>
      <c r="D95" s="68">
        <v>50</v>
      </c>
      <c r="E95" s="71">
        <v>324</v>
      </c>
      <c r="F95" s="68"/>
      <c r="G95" s="71"/>
      <c r="H95" s="68"/>
      <c r="I95" s="71"/>
      <c r="J95" s="67" t="s">
        <v>33</v>
      </c>
      <c r="K95" s="65"/>
    </row>
    <row r="96" spans="1:11" x14ac:dyDescent="0.25">
      <c r="A96" s="20" t="s">
        <v>70</v>
      </c>
      <c r="B96" s="21"/>
      <c r="D96" s="7"/>
      <c r="F96" s="7"/>
      <c r="H96" s="7"/>
      <c r="K96" s="13"/>
    </row>
    <row r="97" spans="1:12" s="67" customFormat="1" ht="30" x14ac:dyDescent="0.25">
      <c r="A97" s="65" t="s">
        <v>65</v>
      </c>
      <c r="B97" s="66" t="s">
        <v>163</v>
      </c>
      <c r="C97" s="67" t="s">
        <v>328</v>
      </c>
      <c r="D97" s="68"/>
      <c r="E97" s="71"/>
      <c r="F97" s="68"/>
      <c r="G97" s="71"/>
      <c r="H97" s="68">
        <v>478.89</v>
      </c>
      <c r="I97" s="71">
        <v>593</v>
      </c>
      <c r="K97" s="65"/>
    </row>
    <row r="98" spans="1:12" s="67" customFormat="1" x14ac:dyDescent="0.25">
      <c r="A98" s="65" t="s">
        <v>37</v>
      </c>
      <c r="B98" s="66" t="s">
        <v>190</v>
      </c>
      <c r="C98" s="67" t="s">
        <v>328</v>
      </c>
      <c r="D98" s="68"/>
      <c r="E98" s="71"/>
      <c r="F98" s="68"/>
      <c r="G98" s="71"/>
      <c r="H98" s="68">
        <v>283.68</v>
      </c>
      <c r="I98" s="71">
        <v>381</v>
      </c>
      <c r="K98" s="65"/>
    </row>
    <row r="99" spans="1:12" s="15" customFormat="1" ht="30" x14ac:dyDescent="0.25">
      <c r="A99" s="16" t="s">
        <v>71</v>
      </c>
      <c r="B99" s="18" t="s">
        <v>188</v>
      </c>
      <c r="C99" s="15" t="s">
        <v>328</v>
      </c>
      <c r="D99" s="17"/>
      <c r="E99" s="64"/>
      <c r="F99" s="17"/>
      <c r="G99" s="64"/>
      <c r="H99" s="17">
        <v>46.63</v>
      </c>
      <c r="I99" s="64">
        <v>12</v>
      </c>
      <c r="K99" s="16"/>
    </row>
    <row r="100" spans="1:12" s="15" customFormat="1" ht="30" x14ac:dyDescent="0.25">
      <c r="A100" s="16" t="s">
        <v>72</v>
      </c>
      <c r="B100" s="18" t="s">
        <v>187</v>
      </c>
      <c r="C100" s="15" t="s">
        <v>328</v>
      </c>
      <c r="D100" s="17"/>
      <c r="E100" s="64"/>
      <c r="F100" s="17"/>
      <c r="G100" s="64"/>
      <c r="H100" s="17">
        <v>118</v>
      </c>
      <c r="I100" s="64">
        <v>149</v>
      </c>
      <c r="K100" s="16"/>
    </row>
    <row r="101" spans="1:12" s="15" customFormat="1" ht="30" x14ac:dyDescent="0.25">
      <c r="A101" s="16" t="s">
        <v>73</v>
      </c>
      <c r="B101" s="18" t="s">
        <v>171</v>
      </c>
      <c r="C101" s="15" t="s">
        <v>328</v>
      </c>
      <c r="D101" s="17"/>
      <c r="E101" s="64"/>
      <c r="F101" s="17"/>
      <c r="G101" s="64"/>
      <c r="H101" s="17">
        <v>119.05</v>
      </c>
      <c r="I101" s="64">
        <v>148</v>
      </c>
      <c r="K101" s="16"/>
    </row>
    <row r="102" spans="1:12" s="15" customFormat="1" ht="30" x14ac:dyDescent="0.25">
      <c r="A102" s="16" t="s">
        <v>74</v>
      </c>
      <c r="B102" s="18" t="s">
        <v>170</v>
      </c>
      <c r="C102" s="15" t="s">
        <v>328</v>
      </c>
      <c r="D102" s="17"/>
      <c r="E102" s="64"/>
      <c r="F102" s="17"/>
      <c r="G102" s="64"/>
      <c r="H102" s="17">
        <v>43.48</v>
      </c>
      <c r="I102" s="64">
        <v>17</v>
      </c>
      <c r="K102" s="16"/>
    </row>
    <row r="103" spans="1:12" s="15" customFormat="1" ht="30" x14ac:dyDescent="0.25">
      <c r="A103" s="16" t="s">
        <v>75</v>
      </c>
      <c r="B103" s="18" t="s">
        <v>189</v>
      </c>
      <c r="C103" s="15" t="s">
        <v>328</v>
      </c>
      <c r="D103" s="17"/>
      <c r="E103" s="64"/>
      <c r="F103" s="17"/>
      <c r="G103" s="64"/>
      <c r="H103" s="17">
        <v>286.63</v>
      </c>
      <c r="I103" s="64">
        <v>126</v>
      </c>
      <c r="K103" s="16"/>
    </row>
    <row r="104" spans="1:12" s="15" customFormat="1" ht="30" x14ac:dyDescent="0.25">
      <c r="A104" s="16" t="s">
        <v>76</v>
      </c>
      <c r="B104" s="18" t="s">
        <v>169</v>
      </c>
      <c r="C104" s="15" t="s">
        <v>328</v>
      </c>
      <c r="D104" s="17"/>
      <c r="E104" s="64"/>
      <c r="F104" s="17"/>
      <c r="G104" s="64"/>
      <c r="H104" s="17">
        <v>28.16</v>
      </c>
      <c r="I104" s="64">
        <v>5</v>
      </c>
      <c r="K104" s="16"/>
    </row>
    <row r="105" spans="1:12" s="15" customFormat="1" ht="33" customHeight="1" x14ac:dyDescent="0.25">
      <c r="A105" s="16" t="s">
        <v>77</v>
      </c>
      <c r="B105" s="18" t="s">
        <v>168</v>
      </c>
      <c r="C105" s="15" t="s">
        <v>328</v>
      </c>
      <c r="D105" s="17"/>
      <c r="E105" s="64"/>
      <c r="F105" s="17"/>
      <c r="G105" s="64"/>
      <c r="H105" s="17">
        <v>245.29</v>
      </c>
      <c r="I105" s="64">
        <v>359</v>
      </c>
      <c r="K105" s="16"/>
    </row>
    <row r="106" spans="1:12" s="15" customFormat="1" ht="30" x14ac:dyDescent="0.25">
      <c r="A106" s="16" t="s">
        <v>78</v>
      </c>
      <c r="B106" s="18" t="s">
        <v>197</v>
      </c>
      <c r="C106" s="15" t="s">
        <v>328</v>
      </c>
      <c r="D106" s="17"/>
      <c r="E106" s="64"/>
      <c r="F106" s="17"/>
      <c r="G106" s="64"/>
      <c r="H106" s="17">
        <v>88.12</v>
      </c>
      <c r="I106" s="64">
        <v>51</v>
      </c>
      <c r="K106" s="16"/>
    </row>
    <row r="107" spans="1:12" s="15" customFormat="1" ht="30" x14ac:dyDescent="0.25">
      <c r="A107" s="16" t="s">
        <v>79</v>
      </c>
      <c r="B107" s="18" t="s">
        <v>167</v>
      </c>
      <c r="C107" s="15" t="s">
        <v>328</v>
      </c>
      <c r="D107" s="17"/>
      <c r="E107" s="64"/>
      <c r="F107" s="17"/>
      <c r="G107" s="64"/>
      <c r="H107" s="17">
        <v>43.48</v>
      </c>
      <c r="I107" s="64">
        <v>0</v>
      </c>
      <c r="K107" s="16"/>
    </row>
    <row r="108" spans="1:12" s="76" customFormat="1" ht="30" x14ac:dyDescent="0.25">
      <c r="A108" s="74" t="s">
        <v>80</v>
      </c>
      <c r="B108" s="75" t="s">
        <v>177</v>
      </c>
      <c r="C108" s="76" t="s">
        <v>328</v>
      </c>
      <c r="D108" s="77"/>
      <c r="E108" s="78"/>
      <c r="F108" s="77"/>
      <c r="G108" s="78"/>
      <c r="H108" s="77">
        <v>28.16</v>
      </c>
      <c r="I108" s="78">
        <v>0</v>
      </c>
      <c r="K108" s="74" t="s">
        <v>315</v>
      </c>
      <c r="L108" s="76" t="s">
        <v>280</v>
      </c>
    </row>
    <row r="109" spans="1:12" s="15" customFormat="1" ht="30" x14ac:dyDescent="0.25">
      <c r="A109" s="16" t="s">
        <v>81</v>
      </c>
      <c r="B109" s="18" t="s">
        <v>180</v>
      </c>
      <c r="C109" s="15" t="s">
        <v>328</v>
      </c>
      <c r="D109" s="17"/>
      <c r="E109" s="64"/>
      <c r="F109" s="17"/>
      <c r="G109" s="64"/>
      <c r="H109" s="17">
        <v>28.16</v>
      </c>
      <c r="I109" s="64">
        <v>0</v>
      </c>
      <c r="K109" s="16"/>
    </row>
    <row r="110" spans="1:12" s="15" customFormat="1" ht="30" x14ac:dyDescent="0.25">
      <c r="A110" s="16" t="s">
        <v>82</v>
      </c>
      <c r="B110" s="18" t="s">
        <v>179</v>
      </c>
      <c r="C110" s="15" t="s">
        <v>328</v>
      </c>
      <c r="D110" s="17"/>
      <c r="E110" s="64"/>
      <c r="F110" s="17"/>
      <c r="G110" s="64"/>
      <c r="H110" s="17">
        <v>43.48</v>
      </c>
      <c r="I110" s="64">
        <v>4</v>
      </c>
      <c r="K110" s="16"/>
    </row>
    <row r="111" spans="1:12" s="15" customFormat="1" ht="30" x14ac:dyDescent="0.25">
      <c r="A111" s="16" t="s">
        <v>83</v>
      </c>
      <c r="B111" s="18" t="s">
        <v>178</v>
      </c>
      <c r="C111" s="15" t="s">
        <v>328</v>
      </c>
      <c r="D111" s="17"/>
      <c r="E111" s="64"/>
      <c r="F111" s="17"/>
      <c r="G111" s="64"/>
      <c r="H111" s="17">
        <v>50.5</v>
      </c>
      <c r="I111" s="64">
        <v>11</v>
      </c>
      <c r="K111" s="16"/>
    </row>
    <row r="112" spans="1:12" s="15" customFormat="1" ht="30" x14ac:dyDescent="0.25">
      <c r="A112" s="16" t="s">
        <v>84</v>
      </c>
      <c r="B112" s="18" t="s">
        <v>175</v>
      </c>
      <c r="C112" s="15" t="s">
        <v>328</v>
      </c>
      <c r="D112" s="17"/>
      <c r="E112" s="64"/>
      <c r="F112" s="17"/>
      <c r="G112" s="64"/>
      <c r="H112" s="17">
        <v>28.16</v>
      </c>
      <c r="I112" s="64">
        <v>6</v>
      </c>
      <c r="K112" s="16"/>
    </row>
    <row r="113" spans="1:11" s="15" customFormat="1" ht="30" x14ac:dyDescent="0.25">
      <c r="A113" s="16" t="s">
        <v>85</v>
      </c>
      <c r="B113" s="18" t="s">
        <v>184</v>
      </c>
      <c r="C113" s="15" t="s">
        <v>328</v>
      </c>
      <c r="D113" s="17"/>
      <c r="E113" s="64"/>
      <c r="F113" s="17"/>
      <c r="G113" s="64"/>
      <c r="H113" s="17">
        <v>28.16</v>
      </c>
      <c r="I113" s="64">
        <v>0</v>
      </c>
      <c r="K113" s="16"/>
    </row>
    <row r="114" spans="1:11" s="15" customFormat="1" ht="30" x14ac:dyDescent="0.25">
      <c r="A114" s="16" t="s">
        <v>86</v>
      </c>
      <c r="B114" s="18" t="s">
        <v>185</v>
      </c>
      <c r="C114" s="15" t="s">
        <v>328</v>
      </c>
      <c r="D114" s="17"/>
      <c r="E114" s="64"/>
      <c r="F114" s="17"/>
      <c r="G114" s="64"/>
      <c r="H114" s="17">
        <v>119.56</v>
      </c>
      <c r="I114" s="64">
        <v>175</v>
      </c>
      <c r="K114" s="16"/>
    </row>
    <row r="115" spans="1:11" s="15" customFormat="1" ht="30" x14ac:dyDescent="0.25">
      <c r="A115" s="16" t="s">
        <v>87</v>
      </c>
      <c r="B115" s="18" t="s">
        <v>181</v>
      </c>
      <c r="C115" s="15" t="s">
        <v>328</v>
      </c>
      <c r="D115" s="17"/>
      <c r="E115" s="64"/>
      <c r="F115" s="17"/>
      <c r="G115" s="64"/>
      <c r="H115" s="17">
        <v>28.16</v>
      </c>
      <c r="I115" s="64">
        <v>8</v>
      </c>
      <c r="K115" s="16"/>
    </row>
    <row r="116" spans="1:11" s="15" customFormat="1" ht="30" x14ac:dyDescent="0.25">
      <c r="A116" s="16" t="s">
        <v>88</v>
      </c>
      <c r="B116" s="18" t="s">
        <v>172</v>
      </c>
      <c r="C116" s="15" t="s">
        <v>328</v>
      </c>
      <c r="D116" s="17"/>
      <c r="E116" s="64"/>
      <c r="F116" s="17"/>
      <c r="G116" s="64"/>
      <c r="H116" s="17">
        <v>600.94000000000005</v>
      </c>
      <c r="I116" s="64">
        <v>827</v>
      </c>
      <c r="K116" s="16"/>
    </row>
    <row r="117" spans="1:11" s="15" customFormat="1" ht="45" x14ac:dyDescent="0.25">
      <c r="A117" s="16" t="s">
        <v>89</v>
      </c>
      <c r="B117" s="18" t="s">
        <v>173</v>
      </c>
      <c r="C117" s="15" t="s">
        <v>328</v>
      </c>
      <c r="D117" s="17"/>
      <c r="E117" s="64"/>
      <c r="F117" s="17"/>
      <c r="G117" s="64"/>
      <c r="H117" s="17">
        <v>213.73</v>
      </c>
      <c r="I117" s="64">
        <v>292</v>
      </c>
      <c r="K117" s="16"/>
    </row>
    <row r="118" spans="1:11" s="15" customFormat="1" ht="30" x14ac:dyDescent="0.25">
      <c r="A118" s="16" t="s">
        <v>90</v>
      </c>
      <c r="B118" s="18" t="s">
        <v>174</v>
      </c>
      <c r="C118" s="15" t="s">
        <v>328</v>
      </c>
      <c r="D118" s="17"/>
      <c r="E118" s="64"/>
      <c r="F118" s="17"/>
      <c r="G118" s="64"/>
      <c r="H118" s="17">
        <v>42.04</v>
      </c>
      <c r="I118" s="64">
        <v>46</v>
      </c>
      <c r="K118" s="16"/>
    </row>
    <row r="119" spans="1:11" s="15" customFormat="1" ht="33" customHeight="1" x14ac:dyDescent="0.25">
      <c r="A119" s="16" t="s">
        <v>91</v>
      </c>
      <c r="B119" s="18" t="s">
        <v>182</v>
      </c>
      <c r="C119" s="15" t="s">
        <v>328</v>
      </c>
      <c r="D119" s="17"/>
      <c r="E119" s="64"/>
      <c r="F119" s="17"/>
      <c r="G119" s="64"/>
      <c r="H119" s="17">
        <v>60.57</v>
      </c>
      <c r="I119" s="64">
        <v>52</v>
      </c>
      <c r="K119" s="16"/>
    </row>
    <row r="120" spans="1:11" s="15" customFormat="1" ht="30" x14ac:dyDescent="0.25">
      <c r="A120" s="16" t="s">
        <v>92</v>
      </c>
      <c r="B120" s="18" t="s">
        <v>186</v>
      </c>
      <c r="C120" s="15" t="s">
        <v>328</v>
      </c>
      <c r="D120" s="17"/>
      <c r="E120" s="64"/>
      <c r="F120" s="17"/>
      <c r="G120" s="64"/>
      <c r="H120" s="17">
        <v>79.97</v>
      </c>
      <c r="I120" s="64">
        <v>114</v>
      </c>
      <c r="K120" s="16"/>
    </row>
    <row r="121" spans="1:11" s="15" customFormat="1" ht="30" x14ac:dyDescent="0.25">
      <c r="A121" s="16" t="s">
        <v>93</v>
      </c>
      <c r="B121" s="18" t="s">
        <v>183</v>
      </c>
      <c r="C121" s="15" t="s">
        <v>328</v>
      </c>
      <c r="D121" s="17"/>
      <c r="E121" s="64"/>
      <c r="F121" s="17"/>
      <c r="G121" s="64"/>
      <c r="H121" s="17">
        <v>28.16</v>
      </c>
      <c r="I121" s="64">
        <v>0</v>
      </c>
      <c r="K121" s="16"/>
    </row>
    <row r="122" spans="1:11" s="67" customFormat="1" ht="30" x14ac:dyDescent="0.25">
      <c r="A122" s="65" t="s">
        <v>103</v>
      </c>
      <c r="B122" s="66" t="s">
        <v>194</v>
      </c>
      <c r="C122" s="67" t="s">
        <v>328</v>
      </c>
      <c r="D122" s="68"/>
      <c r="E122" s="71"/>
      <c r="F122" s="68"/>
      <c r="G122" s="71"/>
      <c r="H122" s="68">
        <v>43.97</v>
      </c>
      <c r="I122" s="71">
        <v>3</v>
      </c>
      <c r="K122" s="65"/>
    </row>
    <row r="123" spans="1:11" s="67" customFormat="1" ht="45" x14ac:dyDescent="0.25">
      <c r="A123" s="65" t="s">
        <v>104</v>
      </c>
      <c r="B123" s="66" t="s">
        <v>195</v>
      </c>
      <c r="C123" s="67" t="s">
        <v>328</v>
      </c>
      <c r="D123" s="68"/>
      <c r="E123" s="71"/>
      <c r="F123" s="68"/>
      <c r="G123" s="71"/>
      <c r="H123" s="68">
        <v>43.48</v>
      </c>
      <c r="I123" s="71">
        <v>14</v>
      </c>
      <c r="K123" s="65"/>
    </row>
    <row r="124" spans="1:11" s="67" customFormat="1" ht="30" x14ac:dyDescent="0.25">
      <c r="A124" s="65" t="s">
        <v>105</v>
      </c>
      <c r="B124" s="66" t="s">
        <v>196</v>
      </c>
      <c r="C124" s="67" t="s">
        <v>328</v>
      </c>
      <c r="D124" s="68"/>
      <c r="E124" s="71"/>
      <c r="F124" s="68"/>
      <c r="G124" s="71"/>
      <c r="H124" s="68">
        <v>42.24</v>
      </c>
      <c r="I124" s="71">
        <v>2</v>
      </c>
      <c r="K124" s="65"/>
    </row>
    <row r="125" spans="1:11" s="67" customFormat="1" ht="30" x14ac:dyDescent="0.25">
      <c r="A125" s="65" t="s">
        <v>68</v>
      </c>
      <c r="B125" s="66" t="s">
        <v>166</v>
      </c>
      <c r="C125" s="67" t="s">
        <v>298</v>
      </c>
      <c r="D125" s="68"/>
      <c r="E125" s="71"/>
      <c r="F125" s="68"/>
      <c r="G125" s="71"/>
      <c r="H125" s="68">
        <v>106.68</v>
      </c>
      <c r="I125" s="71">
        <v>44</v>
      </c>
      <c r="K125" s="65"/>
    </row>
    <row r="126" spans="1:11" s="67" customFormat="1" ht="30" x14ac:dyDescent="0.25">
      <c r="A126" s="65" t="s">
        <v>46</v>
      </c>
      <c r="B126" s="66" t="s">
        <v>193</v>
      </c>
      <c r="C126" s="67" t="s">
        <v>328</v>
      </c>
      <c r="D126" s="68"/>
      <c r="E126" s="71"/>
      <c r="F126" s="68"/>
      <c r="G126" s="71"/>
      <c r="H126" s="68">
        <v>43.48</v>
      </c>
      <c r="I126" s="71">
        <v>19</v>
      </c>
      <c r="K126" s="65"/>
    </row>
    <row r="127" spans="1:11" s="67" customFormat="1" ht="30" x14ac:dyDescent="0.25">
      <c r="A127" s="65" t="s">
        <v>17</v>
      </c>
      <c r="B127" s="66" t="s">
        <v>192</v>
      </c>
      <c r="C127" s="67" t="s">
        <v>328</v>
      </c>
      <c r="D127" s="68"/>
      <c r="E127" s="71"/>
      <c r="F127" s="68"/>
      <c r="G127" s="71"/>
      <c r="H127" s="68">
        <v>90.19</v>
      </c>
      <c r="I127" s="71">
        <v>0</v>
      </c>
      <c r="K127" s="65"/>
    </row>
    <row r="128" spans="1:11" s="67" customFormat="1" ht="30" x14ac:dyDescent="0.25">
      <c r="A128" s="65" t="s">
        <v>47</v>
      </c>
      <c r="B128" s="66" t="s">
        <v>139</v>
      </c>
      <c r="C128" s="67" t="s">
        <v>332</v>
      </c>
      <c r="D128" s="68"/>
      <c r="E128" s="71"/>
      <c r="F128" s="68"/>
      <c r="G128" s="71"/>
      <c r="H128" s="68">
        <v>62.9</v>
      </c>
      <c r="I128" s="71">
        <v>55</v>
      </c>
      <c r="K128" s="65"/>
    </row>
    <row r="129" spans="1:11" s="67" customFormat="1" ht="30" x14ac:dyDescent="0.25">
      <c r="A129" s="65" t="s">
        <v>64</v>
      </c>
      <c r="B129" s="66" t="s">
        <v>191</v>
      </c>
      <c r="C129" s="67" t="s">
        <v>298</v>
      </c>
      <c r="D129" s="68"/>
      <c r="E129" s="71"/>
      <c r="F129" s="68"/>
      <c r="G129" s="71"/>
      <c r="H129" s="68">
        <v>238</v>
      </c>
      <c r="I129" s="71">
        <v>314</v>
      </c>
      <c r="K129" s="65"/>
    </row>
    <row r="130" spans="1:11" s="67" customFormat="1" ht="30" x14ac:dyDescent="0.25">
      <c r="A130" s="65" t="s">
        <v>130</v>
      </c>
      <c r="B130" s="66" t="s">
        <v>131</v>
      </c>
      <c r="C130" s="67" t="s">
        <v>332</v>
      </c>
      <c r="D130" s="68"/>
      <c r="E130" s="71"/>
      <c r="F130" s="68"/>
      <c r="G130" s="71"/>
      <c r="H130" s="68">
        <v>1101.25</v>
      </c>
      <c r="I130" s="71">
        <v>1481</v>
      </c>
      <c r="K130" s="65"/>
    </row>
    <row r="131" spans="1:11" s="67" customFormat="1" ht="30" x14ac:dyDescent="0.25">
      <c r="A131" s="65" t="s">
        <v>134</v>
      </c>
      <c r="B131" s="66" t="s">
        <v>133</v>
      </c>
      <c r="C131" s="67" t="s">
        <v>332</v>
      </c>
      <c r="D131" s="68"/>
      <c r="E131" s="71"/>
      <c r="F131" s="68"/>
      <c r="G131" s="71"/>
      <c r="H131" s="68">
        <v>85.13</v>
      </c>
      <c r="I131" s="71">
        <v>98</v>
      </c>
      <c r="K131" s="65"/>
    </row>
    <row r="132" spans="1:11" s="15" customFormat="1" ht="30" x14ac:dyDescent="0.25">
      <c r="A132" s="16" t="s">
        <v>309</v>
      </c>
      <c r="B132" s="18" t="s">
        <v>135</v>
      </c>
      <c r="C132" s="15" t="s">
        <v>332</v>
      </c>
      <c r="D132" s="17"/>
      <c r="E132" s="64"/>
      <c r="F132" s="17"/>
      <c r="G132" s="64"/>
      <c r="H132" s="17">
        <v>1906.75</v>
      </c>
      <c r="I132" s="64">
        <v>2087</v>
      </c>
      <c r="K132" s="16"/>
    </row>
    <row r="133" spans="1:11" s="15" customFormat="1" x14ac:dyDescent="0.25">
      <c r="A133" s="16" t="s">
        <v>137</v>
      </c>
      <c r="B133" s="18" t="s">
        <v>138</v>
      </c>
      <c r="C133" s="15" t="s">
        <v>332</v>
      </c>
      <c r="D133" s="17"/>
      <c r="E133" s="64"/>
      <c r="F133" s="17"/>
      <c r="G133" s="64"/>
      <c r="H133" s="17">
        <v>28.16</v>
      </c>
      <c r="I133" s="64">
        <v>0</v>
      </c>
      <c r="K133" s="16"/>
    </row>
    <row r="134" spans="1:11" s="67" customFormat="1" ht="30" x14ac:dyDescent="0.25">
      <c r="A134" s="65" t="s">
        <v>140</v>
      </c>
      <c r="B134" s="66" t="s">
        <v>141</v>
      </c>
      <c r="C134" s="67" t="s">
        <v>332</v>
      </c>
      <c r="D134" s="68"/>
      <c r="E134" s="71"/>
      <c r="F134" s="68"/>
      <c r="G134" s="71"/>
      <c r="H134" s="68">
        <v>43.48</v>
      </c>
      <c r="I134" s="71">
        <v>0</v>
      </c>
      <c r="K134" s="65"/>
    </row>
    <row r="135" spans="1:11" s="67" customFormat="1" x14ac:dyDescent="0.25">
      <c r="A135" s="65" t="s">
        <v>142</v>
      </c>
      <c r="B135" s="66" t="s">
        <v>143</v>
      </c>
      <c r="C135" s="67" t="s">
        <v>332</v>
      </c>
      <c r="D135" s="68"/>
      <c r="E135" s="71"/>
      <c r="F135" s="68"/>
      <c r="G135" s="71"/>
      <c r="H135" s="68">
        <v>60.2</v>
      </c>
      <c r="I135" s="71">
        <v>80</v>
      </c>
      <c r="K135" s="65"/>
    </row>
    <row r="136" spans="1:11" s="15" customFormat="1" x14ac:dyDescent="0.25">
      <c r="A136" s="16" t="s">
        <v>144</v>
      </c>
      <c r="B136" s="18" t="s">
        <v>145</v>
      </c>
      <c r="C136" s="15" t="s">
        <v>332</v>
      </c>
      <c r="D136" s="17"/>
      <c r="E136" s="64"/>
      <c r="F136" s="17"/>
      <c r="G136" s="64"/>
      <c r="H136" s="17">
        <v>393.8</v>
      </c>
      <c r="I136" s="64">
        <v>490</v>
      </c>
      <c r="K136" s="16"/>
    </row>
    <row r="137" spans="1:11" s="15" customFormat="1" x14ac:dyDescent="0.25">
      <c r="A137" s="16" t="s">
        <v>146</v>
      </c>
      <c r="B137" s="18" t="s">
        <v>147</v>
      </c>
      <c r="C137" s="15" t="s">
        <v>332</v>
      </c>
      <c r="D137" s="17"/>
      <c r="E137" s="64"/>
      <c r="F137" s="17"/>
      <c r="G137" s="64"/>
      <c r="H137" s="17">
        <v>391.33</v>
      </c>
      <c r="I137" s="64">
        <v>553</v>
      </c>
      <c r="K137" s="16"/>
    </row>
    <row r="138" spans="1:11" s="67" customFormat="1" x14ac:dyDescent="0.25">
      <c r="A138" s="65" t="s">
        <v>176</v>
      </c>
      <c r="B138" s="66" t="s">
        <v>165</v>
      </c>
      <c r="C138" s="67" t="s">
        <v>332</v>
      </c>
      <c r="D138" s="68"/>
      <c r="E138" s="71"/>
      <c r="F138" s="68"/>
      <c r="G138" s="71"/>
      <c r="H138" s="68">
        <v>261.36</v>
      </c>
      <c r="I138" s="71">
        <v>333</v>
      </c>
      <c r="K138" s="65"/>
    </row>
    <row r="139" spans="1:11" ht="30" x14ac:dyDescent="0.25">
      <c r="A139" s="20" t="s">
        <v>106</v>
      </c>
      <c r="B139" s="21"/>
      <c r="D139" s="7"/>
      <c r="F139" s="7"/>
      <c r="H139" s="7"/>
      <c r="K139" s="13"/>
    </row>
    <row r="140" spans="1:11" s="67" customFormat="1" ht="30" x14ac:dyDescent="0.25">
      <c r="A140" s="65" t="s">
        <v>107</v>
      </c>
      <c r="B140" s="66">
        <v>67</v>
      </c>
      <c r="C140" s="72">
        <v>42217</v>
      </c>
      <c r="D140" s="68"/>
      <c r="E140" s="71"/>
      <c r="F140" s="68"/>
      <c r="G140" s="71"/>
      <c r="H140" s="68">
        <v>50</v>
      </c>
      <c r="I140" s="71">
        <v>300</v>
      </c>
      <c r="K140" s="65"/>
    </row>
    <row r="141" spans="1:11" ht="30" x14ac:dyDescent="0.25">
      <c r="A141" s="13" t="s">
        <v>109</v>
      </c>
      <c r="B141" s="14">
        <v>95</v>
      </c>
      <c r="C141" s="2" t="s">
        <v>108</v>
      </c>
      <c r="D141" s="7"/>
      <c r="F141" s="7"/>
      <c r="H141" s="7">
        <v>0</v>
      </c>
      <c r="I141" s="51">
        <v>0</v>
      </c>
      <c r="K141" s="13"/>
    </row>
    <row r="142" spans="1:11" x14ac:dyDescent="0.25">
      <c r="A142" s="5" t="s">
        <v>155</v>
      </c>
      <c r="B142" s="23"/>
      <c r="D142" s="7"/>
      <c r="F142" s="7"/>
      <c r="H142" s="7"/>
      <c r="K142" s="13"/>
    </row>
    <row r="143" spans="1:11" s="67" customFormat="1" ht="30" x14ac:dyDescent="0.25">
      <c r="A143" s="65" t="s">
        <v>156</v>
      </c>
      <c r="B143" s="89">
        <v>61</v>
      </c>
      <c r="C143" s="67" t="s">
        <v>304</v>
      </c>
      <c r="D143" s="68"/>
      <c r="E143" s="71"/>
      <c r="F143" s="68"/>
      <c r="G143" s="71"/>
      <c r="H143" s="68">
        <v>30.15</v>
      </c>
      <c r="I143" s="71">
        <v>10</v>
      </c>
      <c r="K143" s="65"/>
    </row>
    <row r="144" spans="1:11" ht="30" x14ac:dyDescent="0.25">
      <c r="A144" s="20" t="s">
        <v>39</v>
      </c>
      <c r="B144" s="21"/>
      <c r="D144" s="7"/>
      <c r="F144" s="7"/>
      <c r="H144" s="7"/>
      <c r="K144" s="13"/>
    </row>
    <row r="145" spans="1:11" s="67" customFormat="1" ht="60" x14ac:dyDescent="0.25">
      <c r="A145" s="65" t="s">
        <v>40</v>
      </c>
      <c r="B145" s="66">
        <v>95</v>
      </c>
      <c r="C145" s="72">
        <v>42214</v>
      </c>
      <c r="D145" s="68"/>
      <c r="E145" s="71"/>
      <c r="F145" s="68"/>
      <c r="G145" s="71"/>
      <c r="H145" s="68">
        <v>16</v>
      </c>
      <c r="I145" s="71">
        <v>0</v>
      </c>
      <c r="K145" s="65"/>
    </row>
    <row r="146" spans="1:11" x14ac:dyDescent="0.25">
      <c r="D146" s="70">
        <f t="shared" ref="D146:I146" si="0">SUM(D2:D145)</f>
        <v>27301.449999999997</v>
      </c>
      <c r="E146" s="51">
        <f t="shared" si="0"/>
        <v>282430</v>
      </c>
      <c r="F146" s="70">
        <f t="shared" si="0"/>
        <v>1542.2</v>
      </c>
      <c r="G146" s="51">
        <f t="shared" si="0"/>
        <v>1452</v>
      </c>
      <c r="H146" s="70">
        <f t="shared" si="0"/>
        <v>8199.7099999999991</v>
      </c>
      <c r="I146" s="51">
        <f t="shared" si="0"/>
        <v>9259</v>
      </c>
      <c r="J146" s="7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abSelected="1"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2266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82"/>
      <c r="B4" s="1083"/>
      <c r="C4" s="1083"/>
      <c r="D4" s="1083"/>
      <c r="E4" s="1083"/>
      <c r="F4" s="1083"/>
      <c r="G4" s="10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196979</v>
      </c>
      <c r="D13" s="34"/>
      <c r="E13" s="35" t="s">
        <v>33</v>
      </c>
      <c r="F13" s="34"/>
      <c r="G13" s="42">
        <v>20673.57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1365</v>
      </c>
      <c r="D15" s="34"/>
      <c r="E15" s="35" t="s">
        <v>10</v>
      </c>
      <c r="F15" s="34"/>
      <c r="G15" s="42">
        <v>2421.08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22302</v>
      </c>
      <c r="D17" s="34"/>
      <c r="E17" s="35" t="s">
        <v>278</v>
      </c>
      <c r="F17" s="34"/>
      <c r="G17" s="42">
        <v>9595.34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G23" sqref="G2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2112</v>
      </c>
      <c r="D3" s="328"/>
      <c r="E3" s="763"/>
      <c r="F3" s="620">
        <v>4681.63</v>
      </c>
      <c r="G3" s="763">
        <v>3919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2111</v>
      </c>
      <c r="D4" s="269"/>
      <c r="E4" s="757"/>
      <c r="F4" s="544">
        <v>685.14</v>
      </c>
      <c r="G4" s="757">
        <v>503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2109</v>
      </c>
      <c r="D5" s="328"/>
      <c r="E5" s="763"/>
      <c r="F5" s="620">
        <v>1152.98</v>
      </c>
      <c r="G5" s="763">
        <v>922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2113</v>
      </c>
      <c r="D6" s="269"/>
      <c r="E6" s="757"/>
      <c r="F6" s="544">
        <v>379.99</v>
      </c>
      <c r="G6" s="757">
        <v>255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2110</v>
      </c>
      <c r="D7" s="269"/>
      <c r="E7" s="757"/>
      <c r="F7" s="544">
        <v>328.74</v>
      </c>
      <c r="G7" s="757">
        <v>229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2111</v>
      </c>
      <c r="D8" s="269"/>
      <c r="E8" s="757"/>
      <c r="F8" s="544">
        <v>902.3</v>
      </c>
      <c r="G8" s="757">
        <v>680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2111</v>
      </c>
      <c r="D9" s="269"/>
      <c r="E9" s="757"/>
      <c r="F9" s="544">
        <v>609.05999999999995</v>
      </c>
      <c r="G9" s="757">
        <v>441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2111</v>
      </c>
      <c r="D10" s="269"/>
      <c r="E10" s="757"/>
      <c r="F10" s="544">
        <v>82.94</v>
      </c>
      <c r="G10" s="757">
        <v>7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2115</v>
      </c>
      <c r="D11" s="269"/>
      <c r="E11" s="757"/>
      <c r="F11" s="544">
        <v>158.85</v>
      </c>
      <c r="G11" s="757">
        <v>70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2111</v>
      </c>
      <c r="D12" s="269"/>
      <c r="E12" s="757"/>
      <c r="F12" s="544">
        <v>106.05</v>
      </c>
      <c r="G12" s="757">
        <v>31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2111</v>
      </c>
      <c r="D13" s="269"/>
      <c r="E13" s="757"/>
      <c r="F13" s="544">
        <v>2093.58</v>
      </c>
      <c r="G13" s="757">
        <v>1651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2113</v>
      </c>
      <c r="D14" s="269"/>
      <c r="E14" s="757"/>
      <c r="F14" s="544">
        <v>192.82</v>
      </c>
      <c r="G14" s="757">
        <v>102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2111</v>
      </c>
      <c r="D15" s="269"/>
      <c r="E15" s="757"/>
      <c r="F15" s="544">
        <v>991.86</v>
      </c>
      <c r="G15" s="757">
        <v>753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2118</v>
      </c>
      <c r="D16" s="269"/>
      <c r="E16" s="757"/>
      <c r="F16" s="544">
        <v>223.77</v>
      </c>
      <c r="G16" s="757">
        <v>158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2118</v>
      </c>
      <c r="D17" s="269"/>
      <c r="E17" s="757"/>
      <c r="F17" s="544">
        <v>173.59</v>
      </c>
      <c r="G17" s="757">
        <v>121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228.42</v>
      </c>
      <c r="E19" s="546">
        <f>1934+12</f>
        <v>1946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37.79</v>
      </c>
      <c r="E21" s="546">
        <v>402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18.45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66.989999999999995</v>
      </c>
      <c r="E23" s="546">
        <v>780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411.4</v>
      </c>
      <c r="E24" s="546">
        <f>4720+17</f>
        <v>4737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108.24</v>
      </c>
      <c r="E26" s="546">
        <v>1330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15.31</v>
      </c>
      <c r="E28" s="546">
        <v>93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143.97999999999999</v>
      </c>
      <c r="E29" s="546">
        <f>1414+5</f>
        <v>1419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689.94</v>
      </c>
      <c r="E30" s="546">
        <f>7720+36</f>
        <v>7756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313.57</v>
      </c>
      <c r="E33" s="546">
        <f>2912+15</f>
        <v>2927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11.49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57.29</v>
      </c>
      <c r="E35" s="546">
        <v>651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19.78</v>
      </c>
      <c r="E36" s="546">
        <v>153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3015.22</v>
      </c>
      <c r="E37" s="546">
        <v>47096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145.66</v>
      </c>
      <c r="E38" s="546">
        <v>1831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66.69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21.27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16.309999999999999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20.65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995.92</v>
      </c>
      <c r="E43" s="546">
        <f>10740+47</f>
        <v>10787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11.49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61.22</v>
      </c>
      <c r="E45" s="546">
        <v>707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113.56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74.95</v>
      </c>
      <c r="E48" s="546">
        <v>884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193.03</v>
      </c>
      <c r="E49" s="546">
        <f>1660+9</f>
        <v>1669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8.44</v>
      </c>
      <c r="E50" s="546">
        <v>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292.5</v>
      </c>
      <c r="E51" s="546">
        <f>3206+9</f>
        <v>3215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98.18</v>
      </c>
      <c r="E52" s="546">
        <v>1153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58.96</v>
      </c>
      <c r="E53" s="546">
        <v>180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993.59</v>
      </c>
      <c r="E54" s="546">
        <f>12840+44</f>
        <v>12884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103.46</v>
      </c>
      <c r="E56" s="546">
        <f>344+5</f>
        <v>349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1226.96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475.96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290.95999999999998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205.98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904.42</v>
      </c>
      <c r="E62" s="546">
        <v>4960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236.75</v>
      </c>
      <c r="E64" s="546">
        <f>3169+5</f>
        <v>3174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641.91999999999996</v>
      </c>
      <c r="E65" s="546">
        <f>8515+22</f>
        <v>8537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200.68</v>
      </c>
      <c r="E66" s="546">
        <v>1210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308.61</v>
      </c>
      <c r="E67" s="546">
        <f>2253+19</f>
        <v>2272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2116</v>
      </c>
      <c r="D69" s="269">
        <v>316</v>
      </c>
      <c r="E69" s="757">
        <v>2211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185</v>
      </c>
      <c r="E70" s="757">
        <v>998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139</v>
      </c>
      <c r="E71" s="757">
        <v>628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62</v>
      </c>
      <c r="E72" s="757">
        <v>174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261</v>
      </c>
      <c r="E74" s="757">
        <v>1611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547</v>
      </c>
      <c r="E75" s="757">
        <v>4114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74</v>
      </c>
      <c r="E76" s="757">
        <v>268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79</v>
      </c>
      <c r="E77" s="757">
        <v>146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112</v>
      </c>
      <c r="E79" s="757">
        <v>577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93</v>
      </c>
      <c r="E80" s="757">
        <v>264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2353</v>
      </c>
      <c r="E81" s="757">
        <v>17640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534</v>
      </c>
      <c r="E85" s="757">
        <v>3000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744</v>
      </c>
      <c r="E86" s="757">
        <v>5280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241</v>
      </c>
      <c r="E88" s="757">
        <v>938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125</v>
      </c>
      <c r="E90" s="757">
        <v>320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84</v>
      </c>
      <c r="E91" s="757">
        <v>347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308.95999999999998</v>
      </c>
      <c r="E92" s="757">
        <v>1997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1937</v>
      </c>
      <c r="E93" s="757">
        <v>15240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217</v>
      </c>
      <c r="E94" s="757">
        <v>1256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2119</v>
      </c>
      <c r="D96" s="269"/>
      <c r="E96" s="757"/>
      <c r="F96" s="544"/>
      <c r="G96" s="757"/>
      <c r="H96" s="269">
        <v>66</v>
      </c>
      <c r="I96" s="757">
        <v>70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2119</v>
      </c>
      <c r="D97" s="269"/>
      <c r="E97" s="757"/>
      <c r="F97" s="544"/>
      <c r="G97" s="757"/>
      <c r="H97" s="269">
        <v>181.49</v>
      </c>
      <c r="I97" s="757">
        <v>253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2119</v>
      </c>
      <c r="D98" s="269"/>
      <c r="E98" s="757"/>
      <c r="F98" s="544"/>
      <c r="G98" s="757"/>
      <c r="H98" s="269">
        <v>44.11</v>
      </c>
      <c r="I98" s="757">
        <v>29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2119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2119</v>
      </c>
      <c r="D100" s="269"/>
      <c r="E100" s="757"/>
      <c r="F100" s="544"/>
      <c r="G100" s="757"/>
      <c r="H100" s="269">
        <v>39.299999999999997</v>
      </c>
      <c r="I100" s="757">
        <v>19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2119</v>
      </c>
      <c r="D101" s="269"/>
      <c r="E101" s="757"/>
      <c r="F101" s="544"/>
      <c r="G101" s="757"/>
      <c r="H101" s="269">
        <v>39.299999999999997</v>
      </c>
      <c r="I101" s="757">
        <v>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2119</v>
      </c>
      <c r="D102" s="269"/>
      <c r="E102" s="757"/>
      <c r="F102" s="544"/>
      <c r="G102" s="757"/>
      <c r="H102" s="269">
        <v>39.299999999999997</v>
      </c>
      <c r="I102" s="757">
        <v>19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2119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2119</v>
      </c>
      <c r="D104" s="269"/>
      <c r="E104" s="757"/>
      <c r="F104" s="544"/>
      <c r="G104" s="757"/>
      <c r="H104" s="269">
        <v>113.17</v>
      </c>
      <c r="I104" s="757">
        <v>148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2119</v>
      </c>
      <c r="D105" s="269"/>
      <c r="E105" s="757"/>
      <c r="F105" s="544"/>
      <c r="G105" s="757"/>
      <c r="H105" s="269">
        <v>39.299999999999997</v>
      </c>
      <c r="I105" s="757">
        <v>11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2119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2119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2119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2119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2119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2119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2119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2119</v>
      </c>
      <c r="D113" s="269"/>
      <c r="E113" s="757"/>
      <c r="F113" s="544"/>
      <c r="G113" s="757"/>
      <c r="H113" s="269">
        <v>39.299999999999997</v>
      </c>
      <c r="I113" s="757">
        <v>8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2119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2119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2119</v>
      </c>
      <c r="D116" s="269"/>
      <c r="E116" s="757"/>
      <c r="F116" s="544"/>
      <c r="G116" s="757"/>
      <c r="H116" s="269">
        <v>139.13</v>
      </c>
      <c r="I116" s="757">
        <v>188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2119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2119</v>
      </c>
      <c r="D118" s="269"/>
      <c r="E118" s="757"/>
      <c r="F118" s="544"/>
      <c r="G118" s="757"/>
      <c r="H118" s="269">
        <v>39.299999999999997</v>
      </c>
      <c r="I118" s="757">
        <v>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2119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2119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2119</v>
      </c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2119</v>
      </c>
      <c r="D122" s="269"/>
      <c r="E122" s="757"/>
      <c r="F122" s="544"/>
      <c r="G122" s="757"/>
      <c r="H122" s="269">
        <v>87.86</v>
      </c>
      <c r="I122" s="757">
        <v>109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2119</v>
      </c>
      <c r="D123" s="269"/>
      <c r="E123" s="757"/>
      <c r="F123" s="544"/>
      <c r="G123" s="757"/>
      <c r="H123" s="269">
        <v>92.18</v>
      </c>
      <c r="I123" s="757">
        <v>65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2119</v>
      </c>
      <c r="D124" s="269"/>
      <c r="E124" s="757"/>
      <c r="F124" s="544"/>
      <c r="G124" s="757"/>
      <c r="H124" s="269">
        <v>44.64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2119</v>
      </c>
      <c r="D125" s="269"/>
      <c r="E125" s="757"/>
      <c r="F125" s="544"/>
      <c r="G125" s="757"/>
      <c r="H125" s="269">
        <v>49.45</v>
      </c>
      <c r="I125" s="757">
        <v>39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2119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2107</v>
      </c>
      <c r="D127" s="269"/>
      <c r="E127" s="757"/>
      <c r="F127" s="544"/>
      <c r="G127" s="757"/>
      <c r="H127" s="269">
        <v>46.24</v>
      </c>
      <c r="I127" s="757">
        <v>33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45" t="s">
        <v>2119</v>
      </c>
      <c r="D128" s="269"/>
      <c r="E128" s="757"/>
      <c r="F128" s="544"/>
      <c r="G128" s="757"/>
      <c r="H128" s="269">
        <v>119.66</v>
      </c>
      <c r="I128" s="757">
        <v>158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2107</v>
      </c>
      <c r="D129" s="269"/>
      <c r="E129" s="757"/>
      <c r="F129" s="544"/>
      <c r="G129" s="757"/>
      <c r="H129" s="269">
        <v>46.24</v>
      </c>
      <c r="I129" s="757">
        <v>33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2107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2107</v>
      </c>
      <c r="D131" s="269"/>
      <c r="E131" s="757"/>
      <c r="F131" s="544"/>
      <c r="G131" s="757"/>
      <c r="H131" s="269">
        <v>2441.19</v>
      </c>
      <c r="I131" s="757">
        <v>3218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2107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2107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2107</v>
      </c>
      <c r="D134" s="269"/>
      <c r="E134" s="757"/>
      <c r="F134" s="544"/>
      <c r="G134" s="757"/>
      <c r="H134" s="269">
        <v>47.84</v>
      </c>
      <c r="I134" s="757">
        <v>36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2107</v>
      </c>
      <c r="D135" s="269"/>
      <c r="E135" s="757"/>
      <c r="F135" s="544"/>
      <c r="G135" s="757"/>
      <c r="H135" s="269">
        <v>260.68</v>
      </c>
      <c r="I135" s="757">
        <v>365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2107</v>
      </c>
      <c r="D136" s="269"/>
      <c r="E136" s="757"/>
      <c r="F136" s="544"/>
      <c r="G136" s="757"/>
      <c r="H136" s="269">
        <v>174.18</v>
      </c>
      <c r="I136" s="757">
        <v>242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2107</v>
      </c>
      <c r="D137" s="269"/>
      <c r="E137" s="757"/>
      <c r="F137" s="544"/>
      <c r="G137" s="757"/>
      <c r="H137" s="269">
        <v>228.86</v>
      </c>
      <c r="I137" s="757">
        <v>320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2120</v>
      </c>
      <c r="D139" s="269"/>
      <c r="E139" s="757"/>
      <c r="F139" s="544"/>
      <c r="G139" s="757"/>
      <c r="H139" s="269">
        <v>254</v>
      </c>
      <c r="I139" s="757">
        <v>9700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2117</v>
      </c>
      <c r="D143" s="269"/>
      <c r="E143" s="757"/>
      <c r="F143" s="544"/>
      <c r="G143" s="757"/>
      <c r="H143" s="269">
        <v>35</v>
      </c>
      <c r="I143" s="757">
        <v>80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20"/>
  <sheetViews>
    <sheetView workbookViewId="0">
      <selection activeCell="C14" sqref="C1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1"/>
      <c r="B4" s="82"/>
      <c r="C4" s="82"/>
      <c r="D4" s="82"/>
      <c r="E4" s="82"/>
      <c r="F4" s="82"/>
      <c r="G4" s="8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282430</v>
      </c>
      <c r="D13" s="34"/>
      <c r="E13" s="35" t="s">
        <v>33</v>
      </c>
      <c r="F13" s="34"/>
      <c r="G13" s="42">
        <v>27301.449999999997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1452</v>
      </c>
      <c r="D15" s="34"/>
      <c r="E15" s="35" t="s">
        <v>10</v>
      </c>
      <c r="F15" s="34"/>
      <c r="G15" s="42">
        <v>1542.2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9259</v>
      </c>
      <c r="D17" s="34"/>
      <c r="E17" s="35" t="s">
        <v>278</v>
      </c>
      <c r="F17" s="34"/>
      <c r="G17" s="42">
        <v>8199.7099999999991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146"/>
  <sheetViews>
    <sheetView zoomScale="90" zoomScaleNormal="90" workbookViewId="0">
      <pane ySplit="1" topLeftCell="A116" activePane="bottomLeft" state="frozen"/>
      <selection pane="bottomLeft" activeCell="A90" sqref="A90"/>
    </sheetView>
  </sheetViews>
  <sheetFormatPr defaultRowHeight="15" x14ac:dyDescent="0.25"/>
  <cols>
    <col min="1" max="1" width="18" bestFit="1" customWidth="1"/>
    <col min="2" max="2" width="12.28515625" bestFit="1" customWidth="1"/>
    <col min="3" max="3" width="23.5703125" bestFit="1" customWidth="1"/>
    <col min="4" max="4" width="12.140625" bestFit="1" customWidth="1"/>
    <col min="5" max="5" width="12.5703125" bestFit="1" customWidth="1"/>
    <col min="6" max="6" width="11.140625" bestFit="1" customWidth="1"/>
    <col min="7" max="7" width="10.5703125" bestFit="1" customWidth="1"/>
    <col min="8" max="8" width="11.140625" bestFit="1" customWidth="1"/>
    <col min="9" max="9" width="11.5703125" bestFit="1" customWidth="1"/>
    <col min="11" max="11" width="15.42578125" customWidth="1"/>
  </cols>
  <sheetData>
    <row r="1" spans="1:11" s="4" customFormat="1" x14ac:dyDescent="0.25">
      <c r="A1" s="4" t="s">
        <v>0</v>
      </c>
      <c r="B1" s="10" t="s">
        <v>122</v>
      </c>
      <c r="C1" s="4" t="s">
        <v>5</v>
      </c>
      <c r="D1" s="6" t="s">
        <v>1</v>
      </c>
      <c r="E1" s="5" t="s">
        <v>4</v>
      </c>
      <c r="F1" s="8" t="s">
        <v>2</v>
      </c>
      <c r="G1" s="4" t="s">
        <v>4</v>
      </c>
      <c r="H1" s="8" t="s">
        <v>3</v>
      </c>
      <c r="I1" s="4" t="s">
        <v>4</v>
      </c>
      <c r="J1" s="4" t="s">
        <v>9</v>
      </c>
      <c r="K1" s="3" t="s">
        <v>12</v>
      </c>
    </row>
    <row r="2" spans="1:11" x14ac:dyDescent="0.25">
      <c r="A2" s="4" t="s">
        <v>6</v>
      </c>
      <c r="B2" s="10"/>
      <c r="D2" s="7"/>
      <c r="E2" s="2"/>
      <c r="F2" s="9"/>
      <c r="H2" s="9"/>
      <c r="K2" s="1"/>
    </row>
    <row r="3" spans="1:11" s="15" customFormat="1" ht="45" x14ac:dyDescent="0.25">
      <c r="A3" s="16" t="s">
        <v>321</v>
      </c>
      <c r="B3" s="18">
        <v>3038136345</v>
      </c>
      <c r="C3" s="15" t="s">
        <v>290</v>
      </c>
      <c r="D3" s="17"/>
      <c r="F3" s="17">
        <v>964.84</v>
      </c>
      <c r="G3" s="15">
        <v>2091</v>
      </c>
      <c r="H3" s="17"/>
      <c r="J3" s="15" t="s">
        <v>10</v>
      </c>
      <c r="K3" s="16" t="s">
        <v>257</v>
      </c>
    </row>
    <row r="4" spans="1:11" s="15" customFormat="1" ht="30" x14ac:dyDescent="0.25">
      <c r="A4" s="16" t="s">
        <v>13</v>
      </c>
      <c r="B4" s="18">
        <v>3026210376</v>
      </c>
      <c r="C4" s="15" t="s">
        <v>288</v>
      </c>
      <c r="D4" s="17"/>
      <c r="F4" s="17">
        <v>55.71</v>
      </c>
      <c r="G4" s="15">
        <v>30</v>
      </c>
      <c r="H4" s="17"/>
      <c r="J4" s="15" t="s">
        <v>10</v>
      </c>
      <c r="K4" s="16" t="s">
        <v>257</v>
      </c>
    </row>
    <row r="5" spans="1:11" s="15" customFormat="1" ht="30" x14ac:dyDescent="0.25">
      <c r="A5" s="16" t="s">
        <v>36</v>
      </c>
      <c r="B5" s="18">
        <v>3039781986</v>
      </c>
      <c r="C5" s="15" t="s">
        <v>294</v>
      </c>
      <c r="D5" s="17"/>
      <c r="F5" s="17">
        <v>42.48</v>
      </c>
      <c r="G5" s="15">
        <v>0</v>
      </c>
      <c r="H5" s="17"/>
      <c r="J5" s="15" t="s">
        <v>10</v>
      </c>
      <c r="K5" s="16" t="s">
        <v>257</v>
      </c>
    </row>
    <row r="6" spans="1:11" s="15" customFormat="1" ht="30" x14ac:dyDescent="0.25">
      <c r="A6" s="16" t="s">
        <v>34</v>
      </c>
      <c r="B6" s="18">
        <v>3039472917</v>
      </c>
      <c r="C6" s="15" t="s">
        <v>258</v>
      </c>
      <c r="D6" s="17"/>
      <c r="F6" s="17">
        <v>51.74</v>
      </c>
      <c r="G6" s="15">
        <v>21</v>
      </c>
      <c r="H6" s="17"/>
      <c r="J6" s="15" t="s">
        <v>10</v>
      </c>
      <c r="K6" s="16" t="s">
        <v>257</v>
      </c>
    </row>
    <row r="7" spans="1:11" s="15" customFormat="1" x14ac:dyDescent="0.25">
      <c r="A7" s="16" t="s">
        <v>37</v>
      </c>
      <c r="B7" s="18">
        <v>4005211270</v>
      </c>
      <c r="C7" s="15" t="s">
        <v>294</v>
      </c>
      <c r="D7" s="17"/>
      <c r="F7" s="17">
        <v>48.65</v>
      </c>
      <c r="G7" s="15">
        <v>14</v>
      </c>
      <c r="H7" s="17"/>
      <c r="J7" s="15" t="s">
        <v>10</v>
      </c>
      <c r="K7" s="16" t="s">
        <v>257</v>
      </c>
    </row>
    <row r="8" spans="1:11" s="15" customFormat="1" ht="45" x14ac:dyDescent="0.25">
      <c r="A8" s="16" t="s">
        <v>41</v>
      </c>
      <c r="B8" s="18">
        <v>3044004323</v>
      </c>
      <c r="C8" s="15" t="s">
        <v>290</v>
      </c>
      <c r="D8" s="17"/>
      <c r="F8" s="17">
        <v>50.35</v>
      </c>
      <c r="G8" s="15">
        <v>7</v>
      </c>
      <c r="H8" s="17"/>
      <c r="J8" s="15" t="s">
        <v>10</v>
      </c>
      <c r="K8" s="16" t="s">
        <v>257</v>
      </c>
    </row>
    <row r="9" spans="1:11" s="15" customFormat="1" ht="45" x14ac:dyDescent="0.25">
      <c r="A9" s="16" t="s">
        <v>42</v>
      </c>
      <c r="B9" s="18">
        <v>3029257704</v>
      </c>
      <c r="C9" s="15" t="s">
        <v>295</v>
      </c>
      <c r="D9" s="17"/>
      <c r="F9" s="17">
        <v>50.35</v>
      </c>
      <c r="G9" s="15">
        <v>7</v>
      </c>
      <c r="H9" s="17"/>
      <c r="J9" s="15" t="s">
        <v>10</v>
      </c>
      <c r="K9" s="16" t="s">
        <v>257</v>
      </c>
    </row>
    <row r="10" spans="1:11" s="15" customFormat="1" ht="30" x14ac:dyDescent="0.25">
      <c r="A10" s="16" t="s">
        <v>44</v>
      </c>
      <c r="B10" s="18">
        <v>3039640691</v>
      </c>
      <c r="C10" s="15" t="s">
        <v>291</v>
      </c>
      <c r="D10" s="17"/>
      <c r="F10" s="17">
        <v>55.27</v>
      </c>
      <c r="G10" s="15">
        <v>29</v>
      </c>
      <c r="H10" s="17"/>
      <c r="J10" s="15" t="s">
        <v>10</v>
      </c>
      <c r="K10" s="16" t="s">
        <v>257</v>
      </c>
    </row>
    <row r="11" spans="1:11" s="15" customFormat="1" ht="30" x14ac:dyDescent="0.25">
      <c r="A11" s="16" t="s">
        <v>43</v>
      </c>
      <c r="B11" s="18">
        <v>3039782225</v>
      </c>
      <c r="C11" s="15" t="s">
        <v>291</v>
      </c>
      <c r="D11" s="17"/>
      <c r="F11" s="17">
        <v>66.3</v>
      </c>
      <c r="G11" s="15">
        <v>54</v>
      </c>
      <c r="H11" s="17"/>
      <c r="J11" s="15" t="s">
        <v>10</v>
      </c>
      <c r="K11" s="16" t="s">
        <v>292</v>
      </c>
    </row>
    <row r="12" spans="1:11" s="15" customFormat="1" ht="45" x14ac:dyDescent="0.25">
      <c r="A12" s="16" t="s">
        <v>45</v>
      </c>
      <c r="B12" s="18">
        <v>3039618715</v>
      </c>
      <c r="C12" s="15" t="s">
        <v>293</v>
      </c>
      <c r="D12" s="17"/>
      <c r="F12" s="17">
        <v>47.54</v>
      </c>
      <c r="G12" s="15">
        <v>0</v>
      </c>
      <c r="H12" s="17"/>
      <c r="J12" s="15" t="s">
        <v>10</v>
      </c>
      <c r="K12" s="16" t="s">
        <v>257</v>
      </c>
    </row>
    <row r="13" spans="1:11" s="15" customFormat="1" ht="30" x14ac:dyDescent="0.25">
      <c r="A13" s="16" t="s">
        <v>46</v>
      </c>
      <c r="B13" s="18">
        <v>3023189549</v>
      </c>
      <c r="C13" s="15" t="s">
        <v>289</v>
      </c>
      <c r="D13" s="17"/>
      <c r="F13" s="17">
        <v>42.48</v>
      </c>
      <c r="G13" s="15">
        <v>0</v>
      </c>
      <c r="H13" s="17"/>
      <c r="J13" s="15" t="s">
        <v>10</v>
      </c>
      <c r="K13" s="16" t="s">
        <v>257</v>
      </c>
    </row>
    <row r="14" spans="1:11" s="15" customFormat="1" ht="30" x14ac:dyDescent="0.25">
      <c r="A14" s="16" t="s">
        <v>47</v>
      </c>
      <c r="B14" s="18">
        <v>3034878837</v>
      </c>
      <c r="C14" s="15" t="s">
        <v>289</v>
      </c>
      <c r="D14" s="17"/>
      <c r="F14" s="17">
        <v>42.48</v>
      </c>
      <c r="G14" s="15">
        <v>0</v>
      </c>
      <c r="H14" s="17"/>
      <c r="J14" s="15" t="s">
        <v>10</v>
      </c>
      <c r="K14" s="16" t="s">
        <v>257</v>
      </c>
    </row>
    <row r="15" spans="1:11" s="15" customFormat="1" ht="30" x14ac:dyDescent="0.25">
      <c r="A15" s="16" t="s">
        <v>64</v>
      </c>
      <c r="B15" s="18">
        <v>3025670416</v>
      </c>
      <c r="C15" s="15" t="s">
        <v>294</v>
      </c>
      <c r="D15" s="17"/>
      <c r="F15" s="17">
        <v>53.06</v>
      </c>
      <c r="G15" s="15">
        <v>24</v>
      </c>
      <c r="H15" s="17"/>
      <c r="J15" s="15" t="s">
        <v>10</v>
      </c>
      <c r="K15" s="16" t="s">
        <v>257</v>
      </c>
    </row>
    <row r="16" spans="1:11" s="15" customFormat="1" ht="30" x14ac:dyDescent="0.25">
      <c r="A16" s="16" t="s">
        <v>65</v>
      </c>
      <c r="B16" s="18">
        <v>3023110891</v>
      </c>
      <c r="C16" s="15" t="s">
        <v>288</v>
      </c>
      <c r="D16" s="17"/>
      <c r="F16" s="17">
        <v>112.62</v>
      </c>
      <c r="G16" s="15">
        <v>159</v>
      </c>
      <c r="H16" s="17"/>
      <c r="J16" s="15" t="s">
        <v>10</v>
      </c>
      <c r="K16" s="16" t="s">
        <v>257</v>
      </c>
    </row>
    <row r="17" spans="1:11" s="15" customFormat="1" ht="30" x14ac:dyDescent="0.25">
      <c r="A17" s="16" t="s">
        <v>69</v>
      </c>
      <c r="B17" s="18">
        <v>3022125574</v>
      </c>
      <c r="C17" s="15" t="s">
        <v>301</v>
      </c>
      <c r="D17" s="17"/>
      <c r="F17" s="17">
        <v>27.79</v>
      </c>
      <c r="G17" s="15">
        <v>12</v>
      </c>
      <c r="H17" s="17"/>
      <c r="J17" s="15" t="s">
        <v>10</v>
      </c>
      <c r="K17" s="16" t="s">
        <v>257</v>
      </c>
    </row>
    <row r="18" spans="1:11" s="15" customFormat="1" ht="30" x14ac:dyDescent="0.25">
      <c r="A18" s="16" t="s">
        <v>68</v>
      </c>
      <c r="B18" s="18">
        <v>3022125841</v>
      </c>
      <c r="C18" s="15" t="s">
        <v>301</v>
      </c>
      <c r="D18" s="17"/>
      <c r="F18" s="17">
        <v>42.5</v>
      </c>
      <c r="G18" s="15">
        <v>0</v>
      </c>
      <c r="H18" s="17"/>
      <c r="J18" s="15" t="s">
        <v>10</v>
      </c>
      <c r="K18" s="16" t="s">
        <v>257</v>
      </c>
    </row>
    <row r="19" spans="1:11" x14ac:dyDescent="0.25">
      <c r="A19" s="3" t="s">
        <v>25</v>
      </c>
      <c r="B19" s="11"/>
      <c r="D19" s="7"/>
      <c r="E19" s="2"/>
      <c r="F19" s="9"/>
      <c r="H19" s="9"/>
      <c r="K19" s="1"/>
    </row>
    <row r="20" spans="1:11" s="15" customFormat="1" ht="45" x14ac:dyDescent="0.25">
      <c r="A20" s="16" t="s">
        <v>310</v>
      </c>
      <c r="B20" s="18">
        <v>8463322</v>
      </c>
      <c r="C20" s="15" t="s">
        <v>307</v>
      </c>
      <c r="D20" s="17">
        <v>6731.73</v>
      </c>
      <c r="E20" s="15">
        <v>103900</v>
      </c>
      <c r="F20" s="17"/>
      <c r="H20" s="17"/>
      <c r="J20" s="15" t="s">
        <v>33</v>
      </c>
      <c r="K20" s="16" t="s">
        <v>297</v>
      </c>
    </row>
    <row r="21" spans="1:11" s="15" customFormat="1" ht="30" x14ac:dyDescent="0.25">
      <c r="A21" s="16" t="s">
        <v>113</v>
      </c>
      <c r="B21" s="18">
        <v>5089282</v>
      </c>
      <c r="C21" s="15" t="s">
        <v>307</v>
      </c>
      <c r="D21" s="17">
        <v>465.5</v>
      </c>
      <c r="E21" s="15">
        <v>1200</v>
      </c>
      <c r="F21" s="17"/>
      <c r="H21" s="17"/>
      <c r="J21" s="15" t="s">
        <v>33</v>
      </c>
      <c r="K21" s="16" t="s">
        <v>257</v>
      </c>
    </row>
    <row r="22" spans="1:11" s="15" customFormat="1" ht="30" x14ac:dyDescent="0.25">
      <c r="A22" s="16" t="s">
        <v>252</v>
      </c>
      <c r="B22" s="15">
        <v>8239130</v>
      </c>
      <c r="C22" s="15" t="s">
        <v>307</v>
      </c>
      <c r="D22" s="17">
        <v>31.43</v>
      </c>
      <c r="E22" s="15">
        <v>207</v>
      </c>
      <c r="F22" s="17"/>
      <c r="H22" s="17"/>
      <c r="J22" s="15" t="s">
        <v>33</v>
      </c>
      <c r="K22" s="16" t="s">
        <v>257</v>
      </c>
    </row>
    <row r="23" spans="1:11" s="15" customFormat="1" ht="30" x14ac:dyDescent="0.25">
      <c r="A23" s="16" t="s">
        <v>114</v>
      </c>
      <c r="B23" s="18">
        <v>5089344</v>
      </c>
      <c r="C23" s="15" t="s">
        <v>307</v>
      </c>
      <c r="D23" s="17">
        <v>42.39</v>
      </c>
      <c r="E23" s="15">
        <v>342</v>
      </c>
      <c r="F23" s="17"/>
      <c r="H23" s="17"/>
      <c r="J23" s="15" t="s">
        <v>33</v>
      </c>
      <c r="K23" s="16" t="s">
        <v>297</v>
      </c>
    </row>
    <row r="24" spans="1:11" s="15" customFormat="1" ht="30" x14ac:dyDescent="0.25">
      <c r="A24" s="16" t="s">
        <v>19</v>
      </c>
      <c r="B24" s="18">
        <v>7010755</v>
      </c>
      <c r="C24" s="15" t="s">
        <v>307</v>
      </c>
      <c r="D24" s="17">
        <v>16.39</v>
      </c>
      <c r="E24" s="15">
        <v>22</v>
      </c>
      <c r="F24" s="17"/>
      <c r="H24" s="17"/>
      <c r="J24" s="15" t="s">
        <v>33</v>
      </c>
      <c r="K24" s="16" t="s">
        <v>297</v>
      </c>
    </row>
    <row r="25" spans="1:11" s="15" customFormat="1" ht="30" x14ac:dyDescent="0.25">
      <c r="A25" s="16" t="s">
        <v>115</v>
      </c>
      <c r="B25" s="18">
        <v>9261200</v>
      </c>
      <c r="C25" s="15" t="s">
        <v>307</v>
      </c>
      <c r="D25" s="17">
        <v>167.21</v>
      </c>
      <c r="E25" s="15">
        <v>1806</v>
      </c>
      <c r="F25" s="17"/>
      <c r="H25" s="17"/>
      <c r="J25" s="15" t="s">
        <v>33</v>
      </c>
      <c r="K25" s="16" t="s">
        <v>297</v>
      </c>
    </row>
    <row r="26" spans="1:11" s="15" customFormat="1" ht="30" x14ac:dyDescent="0.25">
      <c r="A26" s="16" t="s">
        <v>116</v>
      </c>
      <c r="B26" s="18">
        <v>5105092</v>
      </c>
      <c r="C26" s="15" t="s">
        <v>307</v>
      </c>
      <c r="D26" s="17">
        <v>557.26</v>
      </c>
      <c r="E26" s="15">
        <v>6380</v>
      </c>
      <c r="F26" s="17"/>
      <c r="H26" s="17"/>
      <c r="J26" s="15" t="s">
        <v>33</v>
      </c>
      <c r="K26" s="16" t="s">
        <v>297</v>
      </c>
    </row>
    <row r="27" spans="1:11" s="15" customFormat="1" ht="30" x14ac:dyDescent="0.25">
      <c r="A27" s="16" t="s">
        <v>119</v>
      </c>
      <c r="B27" s="18">
        <v>5074402</v>
      </c>
      <c r="C27" s="15" t="s">
        <v>306</v>
      </c>
      <c r="D27" s="17">
        <v>14.6</v>
      </c>
      <c r="E27" s="15">
        <v>0</v>
      </c>
      <c r="F27" s="17"/>
      <c r="H27" s="17"/>
      <c r="J27" s="15" t="s">
        <v>33</v>
      </c>
      <c r="K27" s="16" t="s">
        <v>257</v>
      </c>
    </row>
    <row r="28" spans="1:11" s="15" customFormat="1" ht="30" x14ac:dyDescent="0.25">
      <c r="A28" s="16" t="s">
        <v>248</v>
      </c>
      <c r="B28" s="18">
        <v>5264802</v>
      </c>
      <c r="C28" s="15" t="s">
        <v>306</v>
      </c>
      <c r="D28" s="17">
        <v>113.09</v>
      </c>
      <c r="E28" s="15">
        <v>770</v>
      </c>
      <c r="F28" s="17"/>
      <c r="H28" s="17"/>
      <c r="J28" s="15" t="s">
        <v>33</v>
      </c>
      <c r="K28" s="16" t="s">
        <v>257</v>
      </c>
    </row>
    <row r="29" spans="1:11" s="15" customFormat="1" x14ac:dyDescent="0.25">
      <c r="A29" s="16" t="s">
        <v>264</v>
      </c>
      <c r="B29" s="18">
        <v>8234139</v>
      </c>
      <c r="C29" s="15" t="s">
        <v>306</v>
      </c>
      <c r="D29" s="17">
        <v>24.94</v>
      </c>
      <c r="E29" s="15">
        <v>127</v>
      </c>
      <c r="F29" s="17"/>
      <c r="H29" s="17"/>
      <c r="J29" s="15" t="s">
        <v>33</v>
      </c>
      <c r="K29" s="16" t="s">
        <v>257</v>
      </c>
    </row>
    <row r="30" spans="1:11" s="15" customFormat="1" x14ac:dyDescent="0.25">
      <c r="A30" s="16" t="s">
        <v>250</v>
      </c>
      <c r="B30" s="18">
        <v>5074495</v>
      </c>
      <c r="C30" s="15" t="s">
        <v>306</v>
      </c>
      <c r="D30" s="17">
        <v>14.6</v>
      </c>
      <c r="E30" s="15">
        <v>0</v>
      </c>
      <c r="F30" s="17"/>
      <c r="H30" s="17"/>
      <c r="J30" s="15" t="s">
        <v>33</v>
      </c>
      <c r="K30" s="16" t="s">
        <v>257</v>
      </c>
    </row>
    <row r="31" spans="1:11" s="15" customFormat="1" ht="45" x14ac:dyDescent="0.25">
      <c r="A31" s="16" t="s">
        <v>123</v>
      </c>
      <c r="B31" s="18">
        <v>5036644</v>
      </c>
      <c r="C31" s="15" t="s">
        <v>312</v>
      </c>
      <c r="D31" s="17">
        <v>213.64</v>
      </c>
      <c r="E31" s="15">
        <v>1285</v>
      </c>
      <c r="F31" s="17"/>
      <c r="H31" s="17"/>
      <c r="J31" s="15" t="s">
        <v>33</v>
      </c>
      <c r="K31" s="16" t="s">
        <v>292</v>
      </c>
    </row>
    <row r="32" spans="1:11" s="15" customFormat="1" ht="30" x14ac:dyDescent="0.25">
      <c r="A32" s="16" t="s">
        <v>127</v>
      </c>
      <c r="B32" s="18">
        <v>5020429</v>
      </c>
      <c r="C32" s="15" t="s">
        <v>312</v>
      </c>
      <c r="D32" s="17">
        <v>22.31</v>
      </c>
      <c r="E32" s="15">
        <v>150</v>
      </c>
      <c r="F32" s="17"/>
      <c r="H32" s="17"/>
      <c r="J32" s="15" t="s">
        <v>33</v>
      </c>
      <c r="K32" s="16" t="s">
        <v>257</v>
      </c>
    </row>
    <row r="33" spans="1:11" s="15" customFormat="1" ht="45" x14ac:dyDescent="0.25">
      <c r="A33" s="16" t="s">
        <v>125</v>
      </c>
      <c r="B33" s="18">
        <v>6722734</v>
      </c>
      <c r="C33" s="15" t="s">
        <v>312</v>
      </c>
      <c r="D33" s="17">
        <v>217.28</v>
      </c>
      <c r="E33" s="15">
        <v>1276</v>
      </c>
      <c r="F33" s="17"/>
      <c r="H33" s="17"/>
      <c r="J33" s="15" t="s">
        <v>33</v>
      </c>
      <c r="K33" s="16" t="s">
        <v>292</v>
      </c>
    </row>
    <row r="34" spans="1:11" s="15" customFormat="1" ht="30" x14ac:dyDescent="0.25">
      <c r="A34" s="16" t="s">
        <v>126</v>
      </c>
      <c r="B34" s="62">
        <v>5037202</v>
      </c>
      <c r="C34" s="15" t="s">
        <v>312</v>
      </c>
      <c r="D34" s="17">
        <v>102.71</v>
      </c>
      <c r="E34" s="15">
        <v>1124</v>
      </c>
      <c r="F34" s="17"/>
      <c r="H34" s="17"/>
      <c r="J34" s="15" t="s">
        <v>33</v>
      </c>
      <c r="K34" s="16" t="s">
        <v>292</v>
      </c>
    </row>
    <row r="35" spans="1:11" s="15" customFormat="1" ht="30" x14ac:dyDescent="0.25">
      <c r="A35" s="16" t="s">
        <v>128</v>
      </c>
      <c r="B35" s="18">
        <v>5037326</v>
      </c>
      <c r="C35" s="15" t="s">
        <v>312</v>
      </c>
      <c r="D35" s="17">
        <v>99.19</v>
      </c>
      <c r="E35" s="15">
        <v>1079</v>
      </c>
      <c r="F35" s="17"/>
      <c r="H35" s="17"/>
      <c r="J35" s="15" t="s">
        <v>33</v>
      </c>
      <c r="K35" s="16" t="s">
        <v>303</v>
      </c>
    </row>
    <row r="36" spans="1:11" s="15" customFormat="1" x14ac:dyDescent="0.25">
      <c r="A36" s="16" t="s">
        <v>37</v>
      </c>
      <c r="B36" s="18">
        <v>5064854</v>
      </c>
      <c r="C36" s="15" t="s">
        <v>312</v>
      </c>
      <c r="D36" s="17">
        <v>701.4</v>
      </c>
      <c r="E36" s="15">
        <v>8160</v>
      </c>
      <c r="F36" s="17"/>
      <c r="H36" s="17"/>
      <c r="J36" s="15" t="s">
        <v>33</v>
      </c>
      <c r="K36" s="16" t="s">
        <v>303</v>
      </c>
    </row>
    <row r="37" spans="1:11" s="15" customFormat="1" ht="30" x14ac:dyDescent="0.25">
      <c r="A37" s="16" t="s">
        <v>32</v>
      </c>
      <c r="B37" s="18">
        <v>5021826</v>
      </c>
      <c r="C37" s="15" t="s">
        <v>312</v>
      </c>
      <c r="D37" s="17">
        <v>52.59</v>
      </c>
      <c r="E37" s="15">
        <v>474</v>
      </c>
      <c r="F37" s="17"/>
      <c r="H37" s="17"/>
      <c r="J37" s="15" t="s">
        <v>33</v>
      </c>
      <c r="K37" s="16" t="s">
        <v>303</v>
      </c>
    </row>
    <row r="38" spans="1:11" s="15" customFormat="1" ht="45" x14ac:dyDescent="0.25">
      <c r="A38" s="16" t="s">
        <v>129</v>
      </c>
      <c r="B38" s="18">
        <v>4964784</v>
      </c>
      <c r="C38" s="15" t="s">
        <v>312</v>
      </c>
      <c r="D38" s="17">
        <v>22.75</v>
      </c>
      <c r="E38" s="15">
        <v>150</v>
      </c>
      <c r="F38" s="17"/>
      <c r="H38" s="17"/>
      <c r="J38" s="15" t="s">
        <v>33</v>
      </c>
      <c r="K38" s="16" t="s">
        <v>303</v>
      </c>
    </row>
    <row r="39" spans="1:11" s="15" customFormat="1" ht="30" x14ac:dyDescent="0.25">
      <c r="A39" s="16" t="s">
        <v>254</v>
      </c>
      <c r="B39" s="18">
        <v>4955887</v>
      </c>
      <c r="C39" s="15" t="s">
        <v>311</v>
      </c>
      <c r="D39" s="17">
        <v>25.82</v>
      </c>
      <c r="E39" s="15">
        <v>140</v>
      </c>
      <c r="F39" s="17"/>
      <c r="H39" s="17"/>
      <c r="J39" s="15" t="s">
        <v>33</v>
      </c>
      <c r="K39" s="16" t="s">
        <v>257</v>
      </c>
    </row>
    <row r="40" spans="1:11" s="15" customFormat="1" ht="30" x14ac:dyDescent="0.25">
      <c r="A40" s="16" t="s">
        <v>64</v>
      </c>
      <c r="B40" s="18">
        <v>4932391</v>
      </c>
      <c r="C40" s="15" t="s">
        <v>311</v>
      </c>
      <c r="D40" s="17">
        <v>316.27999999999997</v>
      </c>
      <c r="E40" s="15">
        <v>3053</v>
      </c>
      <c r="F40" s="17"/>
      <c r="H40" s="17"/>
      <c r="J40" s="15" t="s">
        <v>33</v>
      </c>
      <c r="K40" s="16" t="s">
        <v>303</v>
      </c>
    </row>
    <row r="41" spans="1:11" s="15" customFormat="1" ht="30" x14ac:dyDescent="0.25">
      <c r="A41" s="16" t="s">
        <v>28</v>
      </c>
      <c r="B41" s="18">
        <v>5265050</v>
      </c>
      <c r="C41" s="15" t="s">
        <v>313</v>
      </c>
      <c r="D41" s="17">
        <v>22.76</v>
      </c>
      <c r="E41" s="15">
        <v>150</v>
      </c>
      <c r="F41" s="17"/>
      <c r="H41" s="17"/>
      <c r="J41" s="15" t="s">
        <v>33</v>
      </c>
      <c r="K41" s="16" t="s">
        <v>257</v>
      </c>
    </row>
    <row r="42" spans="1:11" s="15" customFormat="1" ht="30" x14ac:dyDescent="0.25">
      <c r="A42" s="16" t="s">
        <v>29</v>
      </c>
      <c r="B42" s="18">
        <v>5265019</v>
      </c>
      <c r="C42" s="15" t="s">
        <v>313</v>
      </c>
      <c r="D42" s="17">
        <v>16.12</v>
      </c>
      <c r="E42" s="15">
        <v>70</v>
      </c>
      <c r="F42" s="17"/>
      <c r="H42" s="17"/>
      <c r="J42" s="15" t="s">
        <v>33</v>
      </c>
      <c r="K42" s="16" t="s">
        <v>257</v>
      </c>
    </row>
    <row r="43" spans="1:11" s="15" customFormat="1" ht="30" x14ac:dyDescent="0.25">
      <c r="A43" s="16" t="s">
        <v>243</v>
      </c>
      <c r="B43" s="18">
        <v>4426005</v>
      </c>
      <c r="C43" s="15" t="s">
        <v>313</v>
      </c>
      <c r="D43" s="17">
        <v>1349.25</v>
      </c>
      <c r="E43" s="15">
        <v>11850</v>
      </c>
      <c r="F43" s="17"/>
      <c r="H43" s="17"/>
      <c r="J43" s="15" t="s">
        <v>33</v>
      </c>
      <c r="K43" s="16" t="s">
        <v>257</v>
      </c>
    </row>
    <row r="44" spans="1:11" s="15" customFormat="1" ht="30" x14ac:dyDescent="0.25">
      <c r="A44" s="16" t="s">
        <v>22</v>
      </c>
      <c r="B44" s="18">
        <v>5264554</v>
      </c>
      <c r="C44" s="15" t="s">
        <v>313</v>
      </c>
      <c r="D44" s="17">
        <v>25.83</v>
      </c>
      <c r="E44" s="15">
        <v>140</v>
      </c>
      <c r="F44" s="17"/>
      <c r="H44" s="17"/>
      <c r="J44" s="15" t="s">
        <v>33</v>
      </c>
      <c r="K44" s="16" t="s">
        <v>257</v>
      </c>
    </row>
    <row r="45" spans="1:11" s="15" customFormat="1" ht="30" x14ac:dyDescent="0.25">
      <c r="A45" s="16" t="s">
        <v>241</v>
      </c>
      <c r="B45" s="18">
        <v>4912148</v>
      </c>
      <c r="C45" s="15" t="s">
        <v>313</v>
      </c>
      <c r="D45" s="17">
        <v>301.16000000000003</v>
      </c>
      <c r="E45" s="15">
        <v>1260</v>
      </c>
      <c r="F45" s="17"/>
      <c r="H45" s="17"/>
      <c r="J45" s="15" t="s">
        <v>33</v>
      </c>
      <c r="K45" s="16" t="s">
        <v>257</v>
      </c>
    </row>
    <row r="46" spans="1:11" s="15" customFormat="1" ht="30" x14ac:dyDescent="0.25">
      <c r="A46" s="16" t="s">
        <v>242</v>
      </c>
      <c r="B46" s="18">
        <v>4426036</v>
      </c>
      <c r="C46" s="15" t="s">
        <v>313</v>
      </c>
      <c r="D46" s="17">
        <v>366.16</v>
      </c>
      <c r="E46" s="15">
        <v>2100</v>
      </c>
      <c r="F46" s="17"/>
      <c r="H46" s="17"/>
      <c r="J46" s="15" t="s">
        <v>33</v>
      </c>
      <c r="K46" s="16" t="s">
        <v>257</v>
      </c>
    </row>
    <row r="47" spans="1:11" s="15" customFormat="1" ht="30" x14ac:dyDescent="0.25">
      <c r="A47" s="16" t="s">
        <v>34</v>
      </c>
      <c r="B47" s="18">
        <v>5028615</v>
      </c>
      <c r="C47" s="15" t="s">
        <v>313</v>
      </c>
      <c r="D47" s="17">
        <v>1176.05</v>
      </c>
      <c r="E47" s="15">
        <v>12640</v>
      </c>
      <c r="F47" s="17"/>
      <c r="H47" s="17"/>
      <c r="J47" s="15" t="s">
        <v>33</v>
      </c>
      <c r="K47" s="16" t="s">
        <v>257</v>
      </c>
    </row>
    <row r="48" spans="1:11" s="15" customFormat="1" ht="30" x14ac:dyDescent="0.25">
      <c r="A48" s="16" t="s">
        <v>47</v>
      </c>
      <c r="B48" s="18">
        <v>4914628</v>
      </c>
      <c r="C48" s="15" t="s">
        <v>313</v>
      </c>
      <c r="D48" s="17">
        <v>732.51</v>
      </c>
      <c r="E48" s="15">
        <v>8466</v>
      </c>
      <c r="F48" s="17"/>
      <c r="H48" s="17"/>
      <c r="J48" s="15" t="s">
        <v>33</v>
      </c>
      <c r="K48" s="16" t="s">
        <v>257</v>
      </c>
    </row>
    <row r="49" spans="1:11" s="15" customFormat="1" ht="30" x14ac:dyDescent="0.25">
      <c r="A49" s="16" t="s">
        <v>46</v>
      </c>
      <c r="B49" s="18">
        <v>5027654</v>
      </c>
      <c r="C49" s="15" t="s">
        <v>313</v>
      </c>
      <c r="D49" s="17">
        <v>307.39999999999998</v>
      </c>
      <c r="E49" s="15">
        <v>3428</v>
      </c>
      <c r="F49" s="17"/>
      <c r="H49" s="17"/>
      <c r="J49" s="15" t="s">
        <v>33</v>
      </c>
      <c r="K49" s="16" t="s">
        <v>257</v>
      </c>
    </row>
    <row r="50" spans="1:11" s="15" customFormat="1" ht="30" x14ac:dyDescent="0.25">
      <c r="A50" s="16" t="s">
        <v>48</v>
      </c>
      <c r="B50" s="18">
        <v>5262911</v>
      </c>
      <c r="C50" s="15" t="s">
        <v>313</v>
      </c>
      <c r="D50" s="17">
        <v>16.12</v>
      </c>
      <c r="E50" s="15">
        <v>70</v>
      </c>
      <c r="F50" s="17"/>
      <c r="H50" s="17"/>
      <c r="J50" s="15" t="s">
        <v>33</v>
      </c>
      <c r="K50" s="16" t="s">
        <v>257</v>
      </c>
    </row>
    <row r="51" spans="1:11" s="15" customFormat="1" ht="30" x14ac:dyDescent="0.25">
      <c r="A51" s="16" t="s">
        <v>244</v>
      </c>
      <c r="B51" s="18">
        <v>8184322</v>
      </c>
      <c r="C51" s="15" t="s">
        <v>313</v>
      </c>
      <c r="D51" s="17">
        <v>544.78</v>
      </c>
      <c r="E51" s="15">
        <v>3120</v>
      </c>
      <c r="F51" s="17"/>
      <c r="H51" s="17"/>
      <c r="J51" s="15" t="s">
        <v>33</v>
      </c>
      <c r="K51" s="16" t="s">
        <v>257</v>
      </c>
    </row>
    <row r="52" spans="1:11" s="15" customFormat="1" ht="30" x14ac:dyDescent="0.25">
      <c r="A52" s="16" t="s">
        <v>38</v>
      </c>
      <c r="B52" s="18">
        <v>5231911</v>
      </c>
      <c r="C52" s="15" t="s">
        <v>313</v>
      </c>
      <c r="D52" s="17">
        <v>22.76</v>
      </c>
      <c r="E52" s="15">
        <v>150</v>
      </c>
      <c r="F52" s="17"/>
      <c r="H52" s="17"/>
      <c r="J52" s="15" t="s">
        <v>33</v>
      </c>
      <c r="K52" s="16" t="s">
        <v>257</v>
      </c>
    </row>
    <row r="53" spans="1:11" s="15" customFormat="1" ht="30" x14ac:dyDescent="0.25">
      <c r="A53" s="16" t="s">
        <v>17</v>
      </c>
      <c r="B53" s="18">
        <v>8934894</v>
      </c>
      <c r="C53" s="15" t="s">
        <v>313</v>
      </c>
      <c r="D53" s="17">
        <v>20.61</v>
      </c>
      <c r="E53" s="15">
        <v>74</v>
      </c>
      <c r="F53" s="17"/>
      <c r="H53" s="17"/>
      <c r="J53" s="15" t="s">
        <v>33</v>
      </c>
      <c r="K53" s="16" t="s">
        <v>257</v>
      </c>
    </row>
    <row r="54" spans="1:11" s="15" customFormat="1" ht="30" x14ac:dyDescent="0.25">
      <c r="A54" s="16" t="s">
        <v>240</v>
      </c>
      <c r="B54" s="18">
        <v>5031405</v>
      </c>
      <c r="C54" s="15" t="s">
        <v>313</v>
      </c>
      <c r="D54" s="17">
        <v>1631.81</v>
      </c>
      <c r="E54" s="15">
        <v>18300</v>
      </c>
      <c r="F54" s="17"/>
      <c r="H54" s="17"/>
      <c r="J54" s="15" t="s">
        <v>33</v>
      </c>
      <c r="K54" s="16" t="s">
        <v>292</v>
      </c>
    </row>
    <row r="55" spans="1:11" s="15" customFormat="1" ht="30" x14ac:dyDescent="0.25">
      <c r="A55" s="16" t="s">
        <v>26</v>
      </c>
      <c r="B55" s="18">
        <v>149091</v>
      </c>
      <c r="C55" s="15" t="s">
        <v>313</v>
      </c>
      <c r="D55" s="17">
        <v>18.88</v>
      </c>
      <c r="E55" s="15">
        <v>80</v>
      </c>
      <c r="F55" s="17"/>
      <c r="H55" s="17"/>
      <c r="J55" s="15" t="s">
        <v>33</v>
      </c>
      <c r="K55" s="16" t="s">
        <v>257</v>
      </c>
    </row>
    <row r="56" spans="1:11" s="15" customFormat="1" ht="30" x14ac:dyDescent="0.25">
      <c r="A56" s="16" t="s">
        <v>30</v>
      </c>
      <c r="B56" s="18">
        <v>4914473</v>
      </c>
      <c r="C56" s="15" t="s">
        <v>313</v>
      </c>
      <c r="D56" s="17">
        <v>1283.96</v>
      </c>
      <c r="E56" s="15">
        <v>19680</v>
      </c>
      <c r="F56" s="17"/>
      <c r="H56" s="17"/>
      <c r="J56" s="15" t="s">
        <v>33</v>
      </c>
      <c r="K56" s="16" t="s">
        <v>257</v>
      </c>
    </row>
    <row r="57" spans="1:11" s="15" customFormat="1" ht="30" x14ac:dyDescent="0.25">
      <c r="A57" s="16" t="s">
        <v>244</v>
      </c>
      <c r="B57" s="18">
        <v>117936</v>
      </c>
      <c r="C57" s="15" t="s">
        <v>313</v>
      </c>
      <c r="D57" s="17">
        <v>136.19999999999999</v>
      </c>
      <c r="E57" s="15">
        <v>440</v>
      </c>
      <c r="F57" s="17"/>
      <c r="H57" s="17"/>
      <c r="J57" s="15" t="s">
        <v>33</v>
      </c>
      <c r="K57" s="16" t="s">
        <v>257</v>
      </c>
    </row>
    <row r="58" spans="1:11" s="15" customFormat="1" ht="60" x14ac:dyDescent="0.25">
      <c r="A58" s="16" t="s">
        <v>153</v>
      </c>
      <c r="B58" s="18">
        <v>8327232</v>
      </c>
      <c r="C58" s="15" t="s">
        <v>311</v>
      </c>
      <c r="D58" s="17">
        <v>297</v>
      </c>
      <c r="E58" s="15">
        <v>1659</v>
      </c>
      <c r="F58" s="17"/>
      <c r="H58" s="17"/>
      <c r="J58" s="15" t="s">
        <v>33</v>
      </c>
      <c r="K58" s="16" t="s">
        <v>257</v>
      </c>
    </row>
    <row r="59" spans="1:11" s="15" customFormat="1" ht="30" x14ac:dyDescent="0.25">
      <c r="A59" s="16" t="s">
        <v>255</v>
      </c>
      <c r="B59" s="18">
        <v>6973803</v>
      </c>
      <c r="C59" s="15" t="s">
        <v>311</v>
      </c>
      <c r="D59" s="17">
        <v>14.6</v>
      </c>
      <c r="E59" s="15">
        <v>0</v>
      </c>
      <c r="F59" s="17"/>
      <c r="H59" s="17"/>
      <c r="J59" s="15" t="s">
        <v>33</v>
      </c>
      <c r="K59" s="16" t="s">
        <v>292</v>
      </c>
    </row>
    <row r="60" spans="1:11" s="15" customFormat="1" ht="30" x14ac:dyDescent="0.25">
      <c r="A60" s="16" t="s">
        <v>150</v>
      </c>
      <c r="B60" s="18">
        <v>7480591</v>
      </c>
      <c r="C60" s="15" t="s">
        <v>311</v>
      </c>
      <c r="D60" s="17">
        <v>1399.31</v>
      </c>
      <c r="E60" s="15">
        <v>19121</v>
      </c>
      <c r="F60" s="17"/>
      <c r="H60" s="17"/>
      <c r="J60" s="15" t="s">
        <v>33</v>
      </c>
      <c r="K60" s="16" t="s">
        <v>257</v>
      </c>
    </row>
    <row r="61" spans="1:11" s="15" customFormat="1" ht="30" x14ac:dyDescent="0.25">
      <c r="A61" s="16" t="s">
        <v>253</v>
      </c>
      <c r="B61" s="18">
        <v>4934809</v>
      </c>
      <c r="C61" s="15" t="s">
        <v>311</v>
      </c>
      <c r="D61" s="17">
        <v>24.38</v>
      </c>
      <c r="E61" s="15">
        <v>120</v>
      </c>
      <c r="F61" s="17"/>
      <c r="H61" s="17"/>
      <c r="J61" s="15" t="s">
        <v>33</v>
      </c>
      <c r="K61" s="16" t="s">
        <v>292</v>
      </c>
    </row>
    <row r="62" spans="1:11" s="15" customFormat="1" ht="30" x14ac:dyDescent="0.25">
      <c r="A62" s="16" t="s">
        <v>152</v>
      </c>
      <c r="B62" s="18">
        <v>9498071</v>
      </c>
      <c r="C62" s="15" t="s">
        <v>311</v>
      </c>
      <c r="D62" s="17">
        <v>202.88</v>
      </c>
      <c r="E62" s="15">
        <v>560</v>
      </c>
      <c r="F62" s="17"/>
      <c r="H62" s="17"/>
      <c r="J62" s="15" t="s">
        <v>33</v>
      </c>
      <c r="K62" s="16" t="s">
        <v>257</v>
      </c>
    </row>
    <row r="63" spans="1:11" s="15" customFormat="1" ht="30" x14ac:dyDescent="0.25">
      <c r="A63" s="16" t="s">
        <v>245</v>
      </c>
      <c r="B63" s="18">
        <v>4962800</v>
      </c>
      <c r="C63" s="15" t="s">
        <v>311</v>
      </c>
      <c r="D63" s="17">
        <v>27.41</v>
      </c>
      <c r="E63" s="15">
        <v>160</v>
      </c>
      <c r="F63" s="17"/>
      <c r="H63" s="17"/>
      <c r="J63" s="15" t="s">
        <v>33</v>
      </c>
      <c r="K63" s="16" t="s">
        <v>303</v>
      </c>
    </row>
    <row r="64" spans="1:11" s="15" customFormat="1" ht="30" x14ac:dyDescent="0.25">
      <c r="A64" s="16" t="s">
        <v>151</v>
      </c>
      <c r="B64" s="18">
        <v>710315</v>
      </c>
      <c r="C64" s="15" t="s">
        <v>311</v>
      </c>
      <c r="D64" s="17">
        <v>234.51</v>
      </c>
      <c r="E64" s="15">
        <v>2739</v>
      </c>
      <c r="F64" s="17"/>
      <c r="H64" s="17"/>
      <c r="J64" s="15" t="s">
        <v>33</v>
      </c>
      <c r="K64" s="16" t="s">
        <v>303</v>
      </c>
    </row>
    <row r="65" spans="1:11" s="15" customFormat="1" ht="30" x14ac:dyDescent="0.25">
      <c r="A65" s="16" t="s">
        <v>24</v>
      </c>
      <c r="B65" s="18">
        <v>4892432</v>
      </c>
      <c r="C65" s="15" t="s">
        <v>305</v>
      </c>
      <c r="D65" s="17">
        <v>114.35</v>
      </c>
      <c r="E65" s="15">
        <v>373</v>
      </c>
      <c r="F65" s="17"/>
      <c r="H65" s="17"/>
      <c r="J65" s="15" t="s">
        <v>33</v>
      </c>
      <c r="K65" s="16" t="s">
        <v>303</v>
      </c>
    </row>
    <row r="66" spans="1:11" s="15" customFormat="1" ht="30" x14ac:dyDescent="0.25">
      <c r="A66" s="16" t="s">
        <v>21</v>
      </c>
      <c r="B66" s="18">
        <v>4968878</v>
      </c>
      <c r="C66" s="15" t="s">
        <v>305</v>
      </c>
      <c r="D66" s="17">
        <v>75.3</v>
      </c>
      <c r="E66" s="15">
        <v>747</v>
      </c>
      <c r="F66" s="17"/>
      <c r="H66" s="17"/>
      <c r="J66" s="15" t="s">
        <v>33</v>
      </c>
      <c r="K66" s="16" t="s">
        <v>303</v>
      </c>
    </row>
    <row r="67" spans="1:11" s="15" customFormat="1" ht="30" x14ac:dyDescent="0.25">
      <c r="A67" s="16" t="s">
        <v>31</v>
      </c>
      <c r="B67" s="18">
        <v>5041139</v>
      </c>
      <c r="C67" s="15" t="s">
        <v>305</v>
      </c>
      <c r="D67" s="17">
        <v>112.64</v>
      </c>
      <c r="E67" s="15">
        <v>1206</v>
      </c>
      <c r="F67" s="17"/>
      <c r="H67" s="17"/>
      <c r="J67" s="15" t="s">
        <v>33</v>
      </c>
      <c r="K67" s="16" t="s">
        <v>303</v>
      </c>
    </row>
    <row r="68" spans="1:11" s="15" customFormat="1" ht="30" x14ac:dyDescent="0.25">
      <c r="A68" s="16" t="s">
        <v>256</v>
      </c>
      <c r="B68" s="18">
        <v>5276024</v>
      </c>
      <c r="C68" s="15" t="s">
        <v>305</v>
      </c>
      <c r="D68" s="17">
        <v>22.76</v>
      </c>
      <c r="E68" s="15">
        <v>150</v>
      </c>
      <c r="F68" s="17"/>
      <c r="H68" s="17"/>
      <c r="J68" s="15" t="s">
        <v>33</v>
      </c>
      <c r="K68" s="16" t="s">
        <v>303</v>
      </c>
    </row>
    <row r="69" spans="1:11" s="15" customFormat="1" x14ac:dyDescent="0.25">
      <c r="A69" s="16" t="s">
        <v>250</v>
      </c>
      <c r="B69" s="63">
        <v>7391</v>
      </c>
      <c r="C69" s="15" t="s">
        <v>306</v>
      </c>
      <c r="D69" s="17">
        <v>17.850000000000001</v>
      </c>
      <c r="E69" s="64">
        <v>40</v>
      </c>
      <c r="F69" s="17"/>
      <c r="G69" s="64"/>
      <c r="H69" s="17"/>
      <c r="I69" s="64"/>
      <c r="J69" s="15" t="s">
        <v>33</v>
      </c>
      <c r="K69" s="16" t="s">
        <v>303</v>
      </c>
    </row>
    <row r="70" spans="1:11" s="15" customFormat="1" x14ac:dyDescent="0.25">
      <c r="A70" s="16" t="s">
        <v>250</v>
      </c>
      <c r="B70" s="63">
        <v>7422</v>
      </c>
      <c r="C70" s="15" t="s">
        <v>306</v>
      </c>
      <c r="D70" s="17">
        <v>0</v>
      </c>
      <c r="E70" s="64">
        <v>0</v>
      </c>
      <c r="F70" s="17"/>
      <c r="G70" s="64"/>
      <c r="H70" s="17"/>
      <c r="I70" s="64"/>
      <c r="J70" s="15" t="s">
        <v>33</v>
      </c>
      <c r="K70" s="16" t="s">
        <v>303</v>
      </c>
    </row>
    <row r="71" spans="1:11" s="2" customFormat="1" ht="45" x14ac:dyDescent="0.25">
      <c r="A71" s="20" t="s">
        <v>49</v>
      </c>
      <c r="B71" s="21"/>
      <c r="D71" s="7"/>
      <c r="F71" s="7"/>
      <c r="H71" s="7"/>
      <c r="K71" s="13"/>
    </row>
    <row r="72" spans="1:11" s="15" customFormat="1" ht="60" x14ac:dyDescent="0.25">
      <c r="A72" s="16" t="s">
        <v>51</v>
      </c>
      <c r="B72" s="18" t="s">
        <v>208</v>
      </c>
      <c r="C72" s="15" t="s">
        <v>298</v>
      </c>
      <c r="D72" s="17">
        <v>357</v>
      </c>
      <c r="E72" s="15">
        <v>3546</v>
      </c>
      <c r="F72" s="17"/>
      <c r="H72" s="17"/>
      <c r="J72" s="15" t="s">
        <v>33</v>
      </c>
      <c r="K72" s="16" t="s">
        <v>303</v>
      </c>
    </row>
    <row r="73" spans="1:11" s="15" customFormat="1" ht="60" x14ac:dyDescent="0.25">
      <c r="A73" s="16" t="s">
        <v>52</v>
      </c>
      <c r="B73" s="18" t="s">
        <v>209</v>
      </c>
      <c r="C73" s="15" t="s">
        <v>299</v>
      </c>
      <c r="D73" s="17">
        <v>175</v>
      </c>
      <c r="E73" s="15">
        <v>1509</v>
      </c>
      <c r="F73" s="17"/>
      <c r="H73" s="17"/>
      <c r="J73" s="15" t="s">
        <v>33</v>
      </c>
      <c r="K73" s="16" t="s">
        <v>303</v>
      </c>
    </row>
    <row r="74" spans="1:11" s="15" customFormat="1" ht="75" x14ac:dyDescent="0.25">
      <c r="A74" s="16" t="s">
        <v>54</v>
      </c>
      <c r="B74" s="18" t="s">
        <v>210</v>
      </c>
      <c r="C74" s="15" t="s">
        <v>298</v>
      </c>
      <c r="D74" s="17">
        <v>59</v>
      </c>
      <c r="E74" s="15">
        <v>294</v>
      </c>
      <c r="F74" s="17"/>
      <c r="H74" s="17"/>
      <c r="J74" s="15" t="s">
        <v>33</v>
      </c>
      <c r="K74" s="16" t="s">
        <v>303</v>
      </c>
    </row>
    <row r="75" spans="1:11" s="15" customFormat="1" ht="45" x14ac:dyDescent="0.25">
      <c r="A75" s="16" t="s">
        <v>55</v>
      </c>
      <c r="B75" s="18" t="s">
        <v>212</v>
      </c>
      <c r="C75" s="15" t="s">
        <v>298</v>
      </c>
      <c r="D75" s="17">
        <v>28</v>
      </c>
      <c r="E75" s="15">
        <v>90</v>
      </c>
      <c r="F75" s="17"/>
      <c r="H75" s="17"/>
      <c r="J75" s="15" t="s">
        <v>33</v>
      </c>
      <c r="K75" s="16" t="s">
        <v>303</v>
      </c>
    </row>
    <row r="76" spans="1:11" s="15" customFormat="1" ht="45" x14ac:dyDescent="0.25">
      <c r="A76" s="16" t="s">
        <v>56</v>
      </c>
      <c r="B76" s="18" t="s">
        <v>213</v>
      </c>
      <c r="C76" s="15" t="s">
        <v>298</v>
      </c>
      <c r="D76" s="17">
        <v>26</v>
      </c>
      <c r="E76" s="15">
        <v>74</v>
      </c>
      <c r="F76" s="17"/>
      <c r="H76" s="17"/>
      <c r="J76" s="15" t="s">
        <v>33</v>
      </c>
      <c r="K76" s="16" t="s">
        <v>303</v>
      </c>
    </row>
    <row r="77" spans="1:11" s="15" customFormat="1" ht="45" x14ac:dyDescent="0.25">
      <c r="A77" s="16" t="s">
        <v>57</v>
      </c>
      <c r="B77" s="18" t="s">
        <v>214</v>
      </c>
      <c r="C77" s="15" t="s">
        <v>298</v>
      </c>
      <c r="D77" s="17">
        <v>222</v>
      </c>
      <c r="E77" s="15">
        <v>2002</v>
      </c>
      <c r="F77" s="17"/>
      <c r="H77" s="17"/>
      <c r="J77" s="15" t="s">
        <v>33</v>
      </c>
      <c r="K77" s="16" t="s">
        <v>303</v>
      </c>
    </row>
    <row r="78" spans="1:11" s="15" customFormat="1" ht="45" x14ac:dyDescent="0.25">
      <c r="A78" s="16" t="s">
        <v>58</v>
      </c>
      <c r="B78" s="18" t="s">
        <v>215</v>
      </c>
      <c r="C78" s="15" t="s">
        <v>298</v>
      </c>
      <c r="D78" s="17">
        <v>122</v>
      </c>
      <c r="E78" s="15">
        <v>1079</v>
      </c>
      <c r="F78" s="17"/>
      <c r="H78" s="17"/>
      <c r="J78" s="15" t="s">
        <v>33</v>
      </c>
      <c r="K78" s="16" t="s">
        <v>303</v>
      </c>
    </row>
    <row r="79" spans="1:11" s="15" customFormat="1" ht="45" x14ac:dyDescent="0.25">
      <c r="A79" s="16" t="s">
        <v>59</v>
      </c>
      <c r="B79" s="18" t="s">
        <v>216</v>
      </c>
      <c r="C79" s="15" t="s">
        <v>298</v>
      </c>
      <c r="D79" s="17">
        <v>43</v>
      </c>
      <c r="E79" s="15">
        <v>248</v>
      </c>
      <c r="F79" s="17"/>
      <c r="H79" s="17"/>
      <c r="J79" s="15" t="s">
        <v>33</v>
      </c>
      <c r="K79" s="16" t="s">
        <v>303</v>
      </c>
    </row>
    <row r="80" spans="1:11" s="15" customFormat="1" ht="45" x14ac:dyDescent="0.25">
      <c r="A80" s="16" t="s">
        <v>60</v>
      </c>
      <c r="B80" s="18" t="s">
        <v>217</v>
      </c>
      <c r="C80" s="15" t="s">
        <v>298</v>
      </c>
      <c r="D80" s="17">
        <v>39</v>
      </c>
      <c r="E80" s="15">
        <v>85</v>
      </c>
      <c r="F80" s="17"/>
      <c r="H80" s="17"/>
      <c r="J80" s="15" t="s">
        <v>33</v>
      </c>
      <c r="K80" s="16" t="s">
        <v>303</v>
      </c>
    </row>
    <row r="81" spans="1:11" s="15" customFormat="1" ht="30" x14ac:dyDescent="0.25">
      <c r="A81" s="16" t="s">
        <v>61</v>
      </c>
      <c r="B81" s="18" t="s">
        <v>218</v>
      </c>
      <c r="C81" s="15" t="s">
        <v>298</v>
      </c>
      <c r="D81" s="17">
        <v>19</v>
      </c>
      <c r="E81" s="15">
        <v>3</v>
      </c>
      <c r="F81" s="17"/>
      <c r="H81" s="17"/>
      <c r="J81" s="15" t="s">
        <v>33</v>
      </c>
      <c r="K81" s="16" t="s">
        <v>303</v>
      </c>
    </row>
    <row r="82" spans="1:11" s="15" customFormat="1" ht="45" x14ac:dyDescent="0.25">
      <c r="A82" s="16" t="s">
        <v>62</v>
      </c>
      <c r="B82" s="18" t="s">
        <v>219</v>
      </c>
      <c r="C82" s="15" t="s">
        <v>298</v>
      </c>
      <c r="D82" s="17">
        <v>21</v>
      </c>
      <c r="E82" s="15">
        <v>22</v>
      </c>
      <c r="F82" s="17"/>
      <c r="H82" s="17"/>
      <c r="J82" s="15" t="s">
        <v>33</v>
      </c>
      <c r="K82" s="16" t="s">
        <v>303</v>
      </c>
    </row>
    <row r="83" spans="1:11" s="15" customFormat="1" ht="30" x14ac:dyDescent="0.25">
      <c r="A83" s="16" t="s">
        <v>94</v>
      </c>
      <c r="B83" s="18" t="s">
        <v>201</v>
      </c>
      <c r="C83" s="15" t="s">
        <v>298</v>
      </c>
      <c r="D83" s="17">
        <v>39</v>
      </c>
      <c r="E83" s="15">
        <v>173</v>
      </c>
      <c r="F83" s="17"/>
      <c r="H83" s="17"/>
      <c r="J83" s="15" t="s">
        <v>33</v>
      </c>
      <c r="K83" s="16" t="s">
        <v>303</v>
      </c>
    </row>
    <row r="84" spans="1:11" s="15" customFormat="1" ht="30" x14ac:dyDescent="0.25">
      <c r="A84" s="16" t="s">
        <v>95</v>
      </c>
      <c r="B84" s="18" t="s">
        <v>202</v>
      </c>
      <c r="C84" s="15" t="s">
        <v>298</v>
      </c>
      <c r="D84" s="17">
        <v>1608</v>
      </c>
      <c r="E84" s="15">
        <v>12720</v>
      </c>
      <c r="F84" s="17"/>
      <c r="H84" s="17"/>
      <c r="J84" s="15" t="s">
        <v>33</v>
      </c>
      <c r="K84" s="16" t="s">
        <v>303</v>
      </c>
    </row>
    <row r="85" spans="1:11" s="15" customFormat="1" ht="30" x14ac:dyDescent="0.25">
      <c r="A85" s="16" t="s">
        <v>96</v>
      </c>
      <c r="B85" s="18" t="s">
        <v>203</v>
      </c>
      <c r="C85" s="15" t="s">
        <v>298</v>
      </c>
      <c r="D85" s="17">
        <v>89</v>
      </c>
      <c r="E85" s="15">
        <v>636</v>
      </c>
      <c r="F85" s="17"/>
      <c r="H85" s="17"/>
      <c r="J85" s="15" t="s">
        <v>33</v>
      </c>
      <c r="K85" s="16" t="s">
        <v>303</v>
      </c>
    </row>
    <row r="86" spans="1:11" s="15" customFormat="1" ht="45" x14ac:dyDescent="0.25">
      <c r="A86" s="16" t="s">
        <v>97</v>
      </c>
      <c r="B86" s="18" t="s">
        <v>204</v>
      </c>
      <c r="C86" s="15" t="s">
        <v>298</v>
      </c>
      <c r="D86" s="17">
        <v>38</v>
      </c>
      <c r="E86" s="15">
        <v>11</v>
      </c>
      <c r="F86" s="17"/>
      <c r="H86" s="17"/>
      <c r="J86" s="15" t="s">
        <v>33</v>
      </c>
      <c r="K86" s="16" t="s">
        <v>303</v>
      </c>
    </row>
    <row r="87" spans="1:11" s="15" customFormat="1" ht="30" x14ac:dyDescent="0.25">
      <c r="A87" s="16" t="s">
        <v>98</v>
      </c>
      <c r="B87" s="18" t="s">
        <v>205</v>
      </c>
      <c r="C87" s="15" t="s">
        <v>298</v>
      </c>
      <c r="D87" s="17">
        <v>19</v>
      </c>
      <c r="E87" s="15">
        <v>4</v>
      </c>
      <c r="F87" s="17"/>
      <c r="H87" s="17"/>
      <c r="J87" s="15" t="s">
        <v>33</v>
      </c>
      <c r="K87" s="16" t="s">
        <v>303</v>
      </c>
    </row>
    <row r="88" spans="1:11" s="15" customFormat="1" ht="30" x14ac:dyDescent="0.25">
      <c r="A88" s="16" t="s">
        <v>99</v>
      </c>
      <c r="B88" s="18" t="s">
        <v>206</v>
      </c>
      <c r="C88" s="15" t="s">
        <v>298</v>
      </c>
      <c r="D88" s="17">
        <v>30</v>
      </c>
      <c r="E88" s="15">
        <v>20</v>
      </c>
      <c r="F88" s="17"/>
      <c r="H88" s="17"/>
      <c r="J88" s="15" t="s">
        <v>33</v>
      </c>
      <c r="K88" s="16" t="s">
        <v>303</v>
      </c>
    </row>
    <row r="89" spans="1:11" s="15" customFormat="1" ht="30" x14ac:dyDescent="0.25">
      <c r="A89" s="16" t="s">
        <v>100</v>
      </c>
      <c r="B89" s="59">
        <v>1323346600</v>
      </c>
      <c r="C89" s="15" t="s">
        <v>298</v>
      </c>
      <c r="D89" s="17">
        <v>954</v>
      </c>
      <c r="E89" s="15">
        <v>9600</v>
      </c>
      <c r="F89" s="17"/>
      <c r="H89" s="17"/>
      <c r="J89" s="15" t="s">
        <v>33</v>
      </c>
      <c r="K89" s="16" t="s">
        <v>303</v>
      </c>
    </row>
    <row r="90" spans="1:11" s="15" customFormat="1" ht="30" x14ac:dyDescent="0.25">
      <c r="A90" s="16" t="s">
        <v>101</v>
      </c>
      <c r="B90" s="59">
        <v>1322699400</v>
      </c>
      <c r="C90" s="15" t="s">
        <v>298</v>
      </c>
      <c r="D90" s="17">
        <v>1162</v>
      </c>
      <c r="E90" s="15">
        <v>2880</v>
      </c>
      <c r="F90" s="17"/>
      <c r="H90" s="17"/>
      <c r="J90" s="15" t="s">
        <v>33</v>
      </c>
      <c r="K90" s="16" t="s">
        <v>303</v>
      </c>
    </row>
    <row r="91" spans="1:11" s="15" customFormat="1" ht="30" x14ac:dyDescent="0.25">
      <c r="A91" s="16" t="s">
        <v>102</v>
      </c>
      <c r="B91" s="18" t="s">
        <v>200</v>
      </c>
      <c r="C91" s="15" t="s">
        <v>298</v>
      </c>
      <c r="D91" s="17">
        <v>396</v>
      </c>
      <c r="E91" s="15">
        <v>2074</v>
      </c>
      <c r="F91" s="17"/>
      <c r="H91" s="17"/>
      <c r="J91" s="15" t="s">
        <v>33</v>
      </c>
      <c r="K91" s="16" t="s">
        <v>303</v>
      </c>
    </row>
    <row r="92" spans="1:11" s="15" customFormat="1" ht="45" x14ac:dyDescent="0.25">
      <c r="A92" s="16" t="s">
        <v>110</v>
      </c>
      <c r="B92" s="18" t="s">
        <v>207</v>
      </c>
      <c r="C92" s="15" t="s">
        <v>298</v>
      </c>
      <c r="D92" s="17">
        <v>105</v>
      </c>
      <c r="E92" s="15">
        <v>416</v>
      </c>
      <c r="F92" s="17"/>
      <c r="H92" s="17"/>
      <c r="J92" s="15" t="s">
        <v>33</v>
      </c>
      <c r="K92" s="16" t="s">
        <v>303</v>
      </c>
    </row>
    <row r="93" spans="1:11" s="15" customFormat="1" ht="30" x14ac:dyDescent="0.25">
      <c r="A93" s="16" t="s">
        <v>111</v>
      </c>
      <c r="B93" s="18" t="s">
        <v>222</v>
      </c>
      <c r="C93" s="15" t="s">
        <v>298</v>
      </c>
      <c r="D93" s="17">
        <v>40</v>
      </c>
      <c r="E93" s="15">
        <v>98</v>
      </c>
      <c r="F93" s="17"/>
      <c r="H93" s="17"/>
      <c r="J93" s="15" t="s">
        <v>33</v>
      </c>
      <c r="K93" s="16" t="s">
        <v>303</v>
      </c>
    </row>
    <row r="94" spans="1:11" s="15" customFormat="1" ht="45" x14ac:dyDescent="0.25">
      <c r="A94" s="16" t="s">
        <v>117</v>
      </c>
      <c r="B94" s="18" t="s">
        <v>220</v>
      </c>
      <c r="C94" s="15" t="s">
        <v>298</v>
      </c>
      <c r="D94" s="17">
        <v>78</v>
      </c>
      <c r="E94" s="15">
        <v>439</v>
      </c>
      <c r="F94" s="17"/>
      <c r="H94" s="17"/>
      <c r="J94" s="15" t="s">
        <v>33</v>
      </c>
      <c r="K94" s="16" t="s">
        <v>303</v>
      </c>
    </row>
    <row r="95" spans="1:11" s="15" customFormat="1" ht="30" x14ac:dyDescent="0.25">
      <c r="A95" s="16" t="s">
        <v>118</v>
      </c>
      <c r="B95" s="18" t="s">
        <v>221</v>
      </c>
      <c r="C95" s="15" t="s">
        <v>298</v>
      </c>
      <c r="D95" s="17">
        <v>30</v>
      </c>
      <c r="E95" s="15">
        <v>118</v>
      </c>
      <c r="F95" s="17"/>
      <c r="H95" s="17"/>
      <c r="J95" s="15" t="s">
        <v>33</v>
      </c>
      <c r="K95" s="16" t="s">
        <v>303</v>
      </c>
    </row>
    <row r="96" spans="1:11" s="2" customFormat="1" x14ac:dyDescent="0.25">
      <c r="A96" s="20" t="s">
        <v>70</v>
      </c>
      <c r="B96" s="21"/>
      <c r="D96" s="7"/>
      <c r="F96" s="7"/>
      <c r="H96" s="7"/>
      <c r="K96" s="13"/>
    </row>
    <row r="97" spans="1:12" s="15" customFormat="1" ht="30" x14ac:dyDescent="0.25">
      <c r="A97" s="16" t="s">
        <v>65</v>
      </c>
      <c r="B97" s="18" t="s">
        <v>163</v>
      </c>
      <c r="C97" s="15" t="s">
        <v>298</v>
      </c>
      <c r="D97" s="17"/>
      <c r="F97" s="17"/>
      <c r="H97" s="17">
        <v>302.95999999999998</v>
      </c>
      <c r="I97" s="15">
        <v>360</v>
      </c>
      <c r="K97" s="16" t="s">
        <v>303</v>
      </c>
    </row>
    <row r="98" spans="1:12" s="15" customFormat="1" x14ac:dyDescent="0.25">
      <c r="A98" s="16" t="s">
        <v>37</v>
      </c>
      <c r="B98" s="18" t="s">
        <v>190</v>
      </c>
      <c r="C98" s="15" t="s">
        <v>298</v>
      </c>
      <c r="D98" s="17"/>
      <c r="F98" s="17"/>
      <c r="H98" s="17">
        <v>246.21</v>
      </c>
      <c r="I98" s="15">
        <v>328</v>
      </c>
      <c r="K98" s="16" t="s">
        <v>297</v>
      </c>
    </row>
    <row r="99" spans="1:12" s="15" customFormat="1" ht="30" x14ac:dyDescent="0.25">
      <c r="A99" s="16" t="s">
        <v>71</v>
      </c>
      <c r="B99" s="18" t="s">
        <v>188</v>
      </c>
      <c r="C99" s="15" t="s">
        <v>298</v>
      </c>
      <c r="D99" s="17"/>
      <c r="F99" s="17"/>
      <c r="H99" s="17">
        <v>46.63</v>
      </c>
      <c r="I99" s="15">
        <v>12</v>
      </c>
      <c r="K99" s="16" t="s">
        <v>303</v>
      </c>
    </row>
    <row r="100" spans="1:12" s="15" customFormat="1" ht="30" x14ac:dyDescent="0.25">
      <c r="A100" s="16" t="s">
        <v>72</v>
      </c>
      <c r="B100" s="18" t="s">
        <v>187</v>
      </c>
      <c r="C100" s="15" t="s">
        <v>298</v>
      </c>
      <c r="D100" s="17"/>
      <c r="F100" s="17"/>
      <c r="H100" s="17">
        <v>44.55</v>
      </c>
      <c r="I100" s="15">
        <v>22</v>
      </c>
      <c r="K100" s="16" t="s">
        <v>303</v>
      </c>
    </row>
    <row r="101" spans="1:12" s="15" customFormat="1" ht="30" x14ac:dyDescent="0.25">
      <c r="A101" s="16" t="s">
        <v>73</v>
      </c>
      <c r="B101" s="18" t="s">
        <v>171</v>
      </c>
      <c r="C101" s="15" t="s">
        <v>298</v>
      </c>
      <c r="D101" s="17"/>
      <c r="F101" s="17"/>
      <c r="H101" s="17">
        <v>92.44</v>
      </c>
      <c r="I101" s="15">
        <v>107</v>
      </c>
      <c r="K101" s="16" t="s">
        <v>303</v>
      </c>
    </row>
    <row r="102" spans="1:12" s="15" customFormat="1" ht="30" x14ac:dyDescent="0.25">
      <c r="A102" s="16" t="s">
        <v>74</v>
      </c>
      <c r="B102" s="18" t="s">
        <v>170</v>
      </c>
      <c r="C102" s="15" t="s">
        <v>298</v>
      </c>
      <c r="D102" s="17"/>
      <c r="F102" s="17"/>
      <c r="H102" s="17">
        <v>43.48</v>
      </c>
      <c r="I102" s="15">
        <v>0</v>
      </c>
      <c r="K102" s="16" t="s">
        <v>303</v>
      </c>
    </row>
    <row r="103" spans="1:12" s="15" customFormat="1" ht="30" x14ac:dyDescent="0.25">
      <c r="A103" s="16" t="s">
        <v>75</v>
      </c>
      <c r="B103" s="18" t="s">
        <v>189</v>
      </c>
      <c r="C103" s="15" t="s">
        <v>298</v>
      </c>
      <c r="D103" s="17"/>
      <c r="F103" s="17"/>
      <c r="H103" s="17">
        <v>263.35000000000002</v>
      </c>
      <c r="I103" s="15">
        <v>88</v>
      </c>
      <c r="K103" s="16" t="s">
        <v>303</v>
      </c>
    </row>
    <row r="104" spans="1:12" s="15" customFormat="1" ht="30" x14ac:dyDescent="0.25">
      <c r="A104" s="16" t="s">
        <v>76</v>
      </c>
      <c r="B104" s="18" t="s">
        <v>169</v>
      </c>
      <c r="C104" s="15" t="s">
        <v>298</v>
      </c>
      <c r="D104" s="17"/>
      <c r="F104" s="17"/>
      <c r="H104" s="17">
        <v>28.16</v>
      </c>
      <c r="I104" s="15">
        <v>0</v>
      </c>
      <c r="K104" s="16" t="s">
        <v>303</v>
      </c>
    </row>
    <row r="105" spans="1:12" s="15" customFormat="1" ht="33" customHeight="1" x14ac:dyDescent="0.25">
      <c r="A105" s="16" t="s">
        <v>77</v>
      </c>
      <c r="B105" s="18" t="s">
        <v>168</v>
      </c>
      <c r="C105" s="15" t="s">
        <v>298</v>
      </c>
      <c r="D105" s="17"/>
      <c r="F105" s="17"/>
      <c r="H105" s="17">
        <v>226.91</v>
      </c>
      <c r="I105" s="15">
        <v>333</v>
      </c>
      <c r="K105" s="16" t="s">
        <v>303</v>
      </c>
    </row>
    <row r="106" spans="1:12" s="15" customFormat="1" ht="30" x14ac:dyDescent="0.25">
      <c r="A106" s="16" t="s">
        <v>78</v>
      </c>
      <c r="B106" s="18" t="s">
        <v>197</v>
      </c>
      <c r="C106" s="15" t="s">
        <v>298</v>
      </c>
      <c r="D106" s="17"/>
      <c r="F106" s="17"/>
      <c r="H106" s="17">
        <v>88.12</v>
      </c>
      <c r="I106" s="15">
        <v>51</v>
      </c>
      <c r="K106" s="16" t="s">
        <v>303</v>
      </c>
    </row>
    <row r="107" spans="1:12" s="15" customFormat="1" ht="30" x14ac:dyDescent="0.25">
      <c r="A107" s="16" t="s">
        <v>79</v>
      </c>
      <c r="B107" s="18" t="s">
        <v>167</v>
      </c>
      <c r="C107" s="15" t="s">
        <v>298</v>
      </c>
      <c r="D107" s="17"/>
      <c r="F107" s="17"/>
      <c r="H107" s="17">
        <v>43.48</v>
      </c>
      <c r="I107" s="15">
        <v>0</v>
      </c>
      <c r="K107" s="16" t="s">
        <v>303</v>
      </c>
    </row>
    <row r="108" spans="1:12" s="15" customFormat="1" ht="30" x14ac:dyDescent="0.25">
      <c r="A108" s="16" t="s">
        <v>80</v>
      </c>
      <c r="B108" s="18" t="s">
        <v>177</v>
      </c>
      <c r="C108" s="15" t="s">
        <v>298</v>
      </c>
      <c r="D108" s="17"/>
      <c r="F108" s="17"/>
      <c r="H108" s="17">
        <v>28.16</v>
      </c>
      <c r="I108" s="15">
        <v>0</v>
      </c>
      <c r="K108" s="16" t="s">
        <v>303</v>
      </c>
      <c r="L108" s="15" t="s">
        <v>280</v>
      </c>
    </row>
    <row r="109" spans="1:12" s="15" customFormat="1" ht="30" x14ac:dyDescent="0.25">
      <c r="A109" s="16" t="s">
        <v>81</v>
      </c>
      <c r="B109" s="18" t="s">
        <v>180</v>
      </c>
      <c r="C109" s="15" t="s">
        <v>298</v>
      </c>
      <c r="D109" s="17"/>
      <c r="F109" s="17"/>
      <c r="H109" s="17">
        <v>36.17</v>
      </c>
      <c r="I109" s="15">
        <v>35</v>
      </c>
      <c r="K109" s="16" t="s">
        <v>303</v>
      </c>
    </row>
    <row r="110" spans="1:12" s="15" customFormat="1" ht="30" x14ac:dyDescent="0.25">
      <c r="A110" s="16" t="s">
        <v>82</v>
      </c>
      <c r="B110" s="18" t="s">
        <v>179</v>
      </c>
      <c r="C110" s="15" t="s">
        <v>298</v>
      </c>
      <c r="D110" s="17"/>
      <c r="F110" s="17"/>
      <c r="H110" s="17">
        <v>44.55</v>
      </c>
      <c r="I110" s="15">
        <v>22</v>
      </c>
      <c r="K110" s="16" t="s">
        <v>303</v>
      </c>
    </row>
    <row r="111" spans="1:12" s="15" customFormat="1" ht="30" x14ac:dyDescent="0.25">
      <c r="A111" s="16" t="s">
        <v>83</v>
      </c>
      <c r="B111" s="18" t="s">
        <v>178</v>
      </c>
      <c r="C111" s="15" t="s">
        <v>298</v>
      </c>
      <c r="D111" s="17"/>
      <c r="F111" s="17"/>
      <c r="H111" s="17">
        <v>50.5</v>
      </c>
      <c r="I111" s="15">
        <v>4</v>
      </c>
      <c r="K111" s="16" t="s">
        <v>303</v>
      </c>
    </row>
    <row r="112" spans="1:12" s="15" customFormat="1" ht="30" x14ac:dyDescent="0.25">
      <c r="A112" s="16" t="s">
        <v>84</v>
      </c>
      <c r="B112" s="18" t="s">
        <v>175</v>
      </c>
      <c r="C112" s="15" t="s">
        <v>298</v>
      </c>
      <c r="D112" s="17"/>
      <c r="F112" s="17"/>
      <c r="H112" s="17">
        <v>28.16</v>
      </c>
      <c r="I112" s="15">
        <v>6</v>
      </c>
      <c r="K112" s="16" t="s">
        <v>303</v>
      </c>
    </row>
    <row r="113" spans="1:11" s="15" customFormat="1" ht="30" x14ac:dyDescent="0.25">
      <c r="A113" s="16" t="s">
        <v>85</v>
      </c>
      <c r="B113" s="18" t="s">
        <v>184</v>
      </c>
      <c r="C113" s="15" t="s">
        <v>298</v>
      </c>
      <c r="D113" s="17"/>
      <c r="F113" s="17"/>
      <c r="H113" s="17">
        <v>28.16</v>
      </c>
      <c r="I113" s="15">
        <v>0</v>
      </c>
      <c r="K113" s="16" t="s">
        <v>303</v>
      </c>
    </row>
    <row r="114" spans="1:11" s="15" customFormat="1" ht="30" x14ac:dyDescent="0.25">
      <c r="A114" s="16" t="s">
        <v>86</v>
      </c>
      <c r="B114" s="18" t="s">
        <v>185</v>
      </c>
      <c r="C114" s="15" t="s">
        <v>298</v>
      </c>
      <c r="D114" s="17"/>
      <c r="F114" s="17"/>
      <c r="H114" s="17">
        <v>28.16</v>
      </c>
      <c r="I114" s="15">
        <v>13</v>
      </c>
      <c r="K114" s="16" t="s">
        <v>303</v>
      </c>
    </row>
    <row r="115" spans="1:11" s="15" customFormat="1" ht="30" x14ac:dyDescent="0.25">
      <c r="A115" s="16" t="s">
        <v>87</v>
      </c>
      <c r="B115" s="18" t="s">
        <v>181</v>
      </c>
      <c r="C115" s="15" t="s">
        <v>302</v>
      </c>
      <c r="D115" s="17"/>
      <c r="F115" s="17"/>
      <c r="H115" s="17">
        <v>28.16</v>
      </c>
      <c r="I115" s="15">
        <v>5</v>
      </c>
      <c r="K115" s="16" t="s">
        <v>303</v>
      </c>
    </row>
    <row r="116" spans="1:11" s="15" customFormat="1" ht="30" x14ac:dyDescent="0.25">
      <c r="A116" s="16" t="s">
        <v>88</v>
      </c>
      <c r="B116" s="18" t="s">
        <v>172</v>
      </c>
      <c r="C116" s="15" t="s">
        <v>298</v>
      </c>
      <c r="D116" s="17"/>
      <c r="F116" s="17"/>
      <c r="H116" s="17">
        <v>485.42</v>
      </c>
      <c r="I116" s="15">
        <v>676</v>
      </c>
      <c r="K116" s="16" t="s">
        <v>303</v>
      </c>
    </row>
    <row r="117" spans="1:11" s="15" customFormat="1" ht="45" x14ac:dyDescent="0.25">
      <c r="A117" s="16" t="s">
        <v>89</v>
      </c>
      <c r="B117" s="18" t="s">
        <v>173</v>
      </c>
      <c r="C117" s="15" t="s">
        <v>298</v>
      </c>
      <c r="D117" s="17"/>
      <c r="F117" s="17"/>
      <c r="H117" s="17">
        <v>549.42999999999995</v>
      </c>
      <c r="I117" s="15">
        <v>739</v>
      </c>
      <c r="K117" s="16" t="s">
        <v>303</v>
      </c>
    </row>
    <row r="118" spans="1:11" s="15" customFormat="1" ht="30" x14ac:dyDescent="0.25">
      <c r="A118" s="16" t="s">
        <v>90</v>
      </c>
      <c r="B118" s="18" t="s">
        <v>174</v>
      </c>
      <c r="C118" s="15" t="s">
        <v>298</v>
      </c>
      <c r="D118" s="17"/>
      <c r="F118" s="17"/>
      <c r="H118" s="17">
        <v>28.16</v>
      </c>
      <c r="I118" s="15">
        <v>0</v>
      </c>
      <c r="K118" s="16" t="s">
        <v>303</v>
      </c>
    </row>
    <row r="119" spans="1:11" s="15" customFormat="1" ht="33" customHeight="1" x14ac:dyDescent="0.25">
      <c r="A119" s="16" t="s">
        <v>91</v>
      </c>
      <c r="B119" s="18" t="s">
        <v>182</v>
      </c>
      <c r="C119" s="15" t="s">
        <v>298</v>
      </c>
      <c r="D119" s="17"/>
      <c r="F119" s="17"/>
      <c r="H119" s="17">
        <v>43.48</v>
      </c>
      <c r="I119" s="15">
        <v>13</v>
      </c>
      <c r="K119" s="16" t="s">
        <v>303</v>
      </c>
    </row>
    <row r="120" spans="1:11" s="15" customFormat="1" ht="30" x14ac:dyDescent="0.25">
      <c r="A120" s="16" t="s">
        <v>92</v>
      </c>
      <c r="B120" s="18" t="s">
        <v>186</v>
      </c>
      <c r="C120" s="15" t="s">
        <v>298</v>
      </c>
      <c r="D120" s="17"/>
      <c r="F120" s="17"/>
      <c r="H120" s="17">
        <v>28.16</v>
      </c>
      <c r="I120" s="15">
        <v>18</v>
      </c>
      <c r="K120" s="16" t="s">
        <v>303</v>
      </c>
    </row>
    <row r="121" spans="1:11" s="15" customFormat="1" ht="30" x14ac:dyDescent="0.25">
      <c r="A121" s="16" t="s">
        <v>93</v>
      </c>
      <c r="B121" s="18" t="s">
        <v>183</v>
      </c>
      <c r="C121" s="15" t="s">
        <v>302</v>
      </c>
      <c r="D121" s="17"/>
      <c r="F121" s="17"/>
      <c r="H121" s="17">
        <v>28.16</v>
      </c>
      <c r="I121" s="15">
        <v>0</v>
      </c>
      <c r="K121" s="16" t="s">
        <v>303</v>
      </c>
    </row>
    <row r="122" spans="1:11" s="15" customFormat="1" ht="30" x14ac:dyDescent="0.25">
      <c r="A122" s="16" t="s">
        <v>103</v>
      </c>
      <c r="B122" s="18" t="s">
        <v>194</v>
      </c>
      <c r="C122" s="15" t="s">
        <v>298</v>
      </c>
      <c r="D122" s="17"/>
      <c r="F122" s="17"/>
      <c r="H122" s="17">
        <v>43.97</v>
      </c>
      <c r="I122" s="15">
        <v>6</v>
      </c>
      <c r="K122" s="16"/>
    </row>
    <row r="123" spans="1:11" s="15" customFormat="1" ht="45" x14ac:dyDescent="0.25">
      <c r="A123" s="16" t="s">
        <v>104</v>
      </c>
      <c r="B123" s="18" t="s">
        <v>195</v>
      </c>
      <c r="C123" s="15" t="s">
        <v>298</v>
      </c>
      <c r="D123" s="17"/>
      <c r="F123" s="17"/>
      <c r="H123" s="17">
        <v>43.48</v>
      </c>
      <c r="I123" s="15">
        <v>14</v>
      </c>
      <c r="K123" s="16"/>
    </row>
    <row r="124" spans="1:11" s="15" customFormat="1" ht="30" x14ac:dyDescent="0.25">
      <c r="A124" s="16" t="s">
        <v>105</v>
      </c>
      <c r="B124" s="18" t="s">
        <v>196</v>
      </c>
      <c r="C124" s="15" t="s">
        <v>298</v>
      </c>
      <c r="D124" s="17"/>
      <c r="F124" s="17"/>
      <c r="H124" s="17">
        <v>42.24</v>
      </c>
      <c r="I124" s="15">
        <v>1</v>
      </c>
      <c r="K124" s="16"/>
    </row>
    <row r="125" spans="1:11" s="15" customFormat="1" ht="30" x14ac:dyDescent="0.25">
      <c r="A125" s="16" t="s">
        <v>68</v>
      </c>
      <c r="B125" s="18" t="s">
        <v>166</v>
      </c>
      <c r="C125" s="15" t="s">
        <v>298</v>
      </c>
      <c r="D125" s="17"/>
      <c r="F125" s="17"/>
      <c r="H125" s="17">
        <v>102.94</v>
      </c>
      <c r="I125" s="15">
        <v>33</v>
      </c>
      <c r="K125" s="16"/>
    </row>
    <row r="126" spans="1:11" s="15" customFormat="1" ht="30" x14ac:dyDescent="0.25">
      <c r="A126" s="16" t="s">
        <v>46</v>
      </c>
      <c r="B126" s="18" t="s">
        <v>193</v>
      </c>
      <c r="C126" s="15" t="s">
        <v>298</v>
      </c>
      <c r="D126" s="17"/>
      <c r="F126" s="17"/>
      <c r="H126" s="17">
        <v>43.49</v>
      </c>
      <c r="I126" s="15">
        <v>15</v>
      </c>
      <c r="K126" s="16"/>
    </row>
    <row r="127" spans="1:11" s="15" customFormat="1" ht="30.75" customHeight="1" x14ac:dyDescent="0.25">
      <c r="A127" s="16" t="s">
        <v>17</v>
      </c>
      <c r="B127" s="18" t="s">
        <v>192</v>
      </c>
      <c r="C127" s="15" t="s">
        <v>298</v>
      </c>
      <c r="D127" s="17"/>
      <c r="F127" s="17"/>
      <c r="H127" s="17">
        <v>90.19</v>
      </c>
      <c r="I127" s="15">
        <v>0</v>
      </c>
      <c r="K127" s="16"/>
    </row>
    <row r="128" spans="1:11" s="15" customFormat="1" ht="30" x14ac:dyDescent="0.25">
      <c r="A128" s="16" t="s">
        <v>47</v>
      </c>
      <c r="B128" s="18" t="s">
        <v>139</v>
      </c>
      <c r="C128" s="15" t="s">
        <v>308</v>
      </c>
      <c r="D128" s="17"/>
      <c r="F128" s="17"/>
      <c r="H128" s="17">
        <v>63.97</v>
      </c>
      <c r="I128" s="15">
        <v>57</v>
      </c>
      <c r="K128" s="16"/>
    </row>
    <row r="129" spans="1:11" s="15" customFormat="1" ht="30" x14ac:dyDescent="0.25">
      <c r="A129" s="16" t="s">
        <v>64</v>
      </c>
      <c r="B129" s="18" t="s">
        <v>191</v>
      </c>
      <c r="C129" s="15" t="s">
        <v>298</v>
      </c>
      <c r="D129" s="17"/>
      <c r="F129" s="17"/>
      <c r="H129" s="17">
        <v>159.65</v>
      </c>
      <c r="I129" s="15">
        <v>199</v>
      </c>
      <c r="K129" s="16"/>
    </row>
    <row r="130" spans="1:11" s="15" customFormat="1" ht="30" x14ac:dyDescent="0.25">
      <c r="A130" s="16" t="s">
        <v>130</v>
      </c>
      <c r="B130" s="18" t="s">
        <v>131</v>
      </c>
      <c r="C130" s="15" t="s">
        <v>308</v>
      </c>
      <c r="D130" s="17"/>
      <c r="F130" s="17"/>
      <c r="H130" s="17">
        <v>140.97</v>
      </c>
      <c r="I130" s="15">
        <v>208</v>
      </c>
      <c r="K130" s="16"/>
    </row>
    <row r="131" spans="1:11" s="15" customFormat="1" ht="30" x14ac:dyDescent="0.25">
      <c r="A131" s="16" t="s">
        <v>134</v>
      </c>
      <c r="B131" s="18" t="s">
        <v>133</v>
      </c>
      <c r="C131" s="15" t="s">
        <v>308</v>
      </c>
      <c r="D131" s="17"/>
      <c r="F131" s="17"/>
      <c r="H131" s="17">
        <v>54.69</v>
      </c>
      <c r="I131" s="15">
        <v>41</v>
      </c>
      <c r="K131" s="16" t="s">
        <v>303</v>
      </c>
    </row>
    <row r="132" spans="1:11" s="15" customFormat="1" ht="30" x14ac:dyDescent="0.25">
      <c r="A132" s="16" t="s">
        <v>309</v>
      </c>
      <c r="B132" s="18" t="s">
        <v>135</v>
      </c>
      <c r="C132" s="15" t="s">
        <v>308</v>
      </c>
      <c r="D132" s="17"/>
      <c r="F132" s="17"/>
      <c r="H132" s="17">
        <v>1994.72</v>
      </c>
      <c r="I132" s="15">
        <v>2202</v>
      </c>
      <c r="K132" s="16"/>
    </row>
    <row r="133" spans="1:11" s="15" customFormat="1" x14ac:dyDescent="0.25">
      <c r="A133" s="16" t="s">
        <v>137</v>
      </c>
      <c r="B133" s="18" t="s">
        <v>138</v>
      </c>
      <c r="C133" s="15" t="s">
        <v>308</v>
      </c>
      <c r="D133" s="17"/>
      <c r="F133" s="17"/>
      <c r="H133" s="17">
        <v>28.16</v>
      </c>
      <c r="I133" s="15">
        <v>0</v>
      </c>
      <c r="K133" s="16"/>
    </row>
    <row r="134" spans="1:11" s="15" customFormat="1" ht="30" x14ac:dyDescent="0.25">
      <c r="A134" s="16" t="s">
        <v>140</v>
      </c>
      <c r="B134" s="18" t="s">
        <v>141</v>
      </c>
      <c r="C134" s="15" t="s">
        <v>308</v>
      </c>
      <c r="D134" s="17"/>
      <c r="F134" s="17"/>
      <c r="H134" s="17">
        <v>43.48</v>
      </c>
      <c r="I134" s="15">
        <v>0</v>
      </c>
      <c r="K134" s="16" t="s">
        <v>303</v>
      </c>
    </row>
    <row r="135" spans="1:11" s="15" customFormat="1" x14ac:dyDescent="0.25">
      <c r="A135" s="16" t="s">
        <v>142</v>
      </c>
      <c r="B135" s="18" t="s">
        <v>143</v>
      </c>
      <c r="C135" s="15" t="s">
        <v>308</v>
      </c>
      <c r="D135" s="17"/>
      <c r="F135" s="17"/>
      <c r="H135" s="17">
        <v>36.17</v>
      </c>
      <c r="I135" s="15">
        <v>35</v>
      </c>
      <c r="K135" s="16" t="s">
        <v>303</v>
      </c>
    </row>
    <row r="136" spans="1:11" s="15" customFormat="1" x14ac:dyDescent="0.25">
      <c r="A136" s="16" t="s">
        <v>144</v>
      </c>
      <c r="B136" s="18" t="s">
        <v>145</v>
      </c>
      <c r="C136" s="15" t="s">
        <v>308</v>
      </c>
      <c r="D136" s="17"/>
      <c r="F136" s="17"/>
      <c r="H136" s="17">
        <v>293.83999999999997</v>
      </c>
      <c r="I136" s="15">
        <v>356</v>
      </c>
      <c r="K136" s="16"/>
    </row>
    <row r="137" spans="1:11" s="15" customFormat="1" x14ac:dyDescent="0.25">
      <c r="A137" s="16" t="s">
        <v>146</v>
      </c>
      <c r="B137" s="18" t="s">
        <v>147</v>
      </c>
      <c r="C137" s="15" t="s">
        <v>308</v>
      </c>
      <c r="D137" s="17"/>
      <c r="F137" s="17"/>
      <c r="H137" s="17">
        <v>188.73</v>
      </c>
      <c r="I137" s="15">
        <v>279</v>
      </c>
      <c r="K137" s="16"/>
    </row>
    <row r="138" spans="1:11" s="15" customFormat="1" ht="30" x14ac:dyDescent="0.25">
      <c r="A138" s="16" t="s">
        <v>176</v>
      </c>
      <c r="B138" s="18" t="s">
        <v>165</v>
      </c>
      <c r="C138" s="15" t="s">
        <v>308</v>
      </c>
      <c r="D138" s="17"/>
      <c r="F138" s="17"/>
      <c r="H138" s="17">
        <v>142.32</v>
      </c>
      <c r="I138" s="15">
        <v>157</v>
      </c>
      <c r="K138" s="16"/>
    </row>
    <row r="139" spans="1:11" s="2" customFormat="1" ht="30" x14ac:dyDescent="0.25">
      <c r="A139" s="20" t="s">
        <v>106</v>
      </c>
      <c r="B139" s="21"/>
      <c r="D139" s="7"/>
      <c r="F139" s="7"/>
      <c r="H139" s="7"/>
      <c r="K139" s="13"/>
    </row>
    <row r="140" spans="1:11" s="15" customFormat="1" ht="30" x14ac:dyDescent="0.25">
      <c r="A140" s="16" t="s">
        <v>107</v>
      </c>
      <c r="B140" s="18">
        <v>67</v>
      </c>
      <c r="C140" s="61">
        <v>42185</v>
      </c>
      <c r="D140" s="17"/>
      <c r="F140" s="17"/>
      <c r="H140" s="17">
        <v>50</v>
      </c>
      <c r="I140" s="15">
        <v>700</v>
      </c>
      <c r="K140" s="16"/>
    </row>
    <row r="141" spans="1:11" s="15" customFormat="1" ht="30" x14ac:dyDescent="0.25">
      <c r="A141" s="16" t="s">
        <v>109</v>
      </c>
      <c r="B141" s="18">
        <v>95</v>
      </c>
      <c r="C141" s="15" t="s">
        <v>108</v>
      </c>
      <c r="D141" s="17"/>
      <c r="F141" s="17"/>
      <c r="H141" s="17">
        <v>302.5</v>
      </c>
      <c r="I141" s="15">
        <v>18400</v>
      </c>
      <c r="K141" s="16"/>
    </row>
    <row r="142" spans="1:11" s="2" customFormat="1" x14ac:dyDescent="0.25">
      <c r="A142" s="5" t="s">
        <v>155</v>
      </c>
      <c r="B142" s="23"/>
      <c r="D142" s="7"/>
      <c r="F142" s="7"/>
      <c r="H142" s="7"/>
      <c r="K142" s="13"/>
    </row>
    <row r="143" spans="1:11" s="15" customFormat="1" ht="30" x14ac:dyDescent="0.25">
      <c r="A143" s="16" t="s">
        <v>156</v>
      </c>
      <c r="B143" s="60">
        <v>61</v>
      </c>
      <c r="C143" s="15" t="s">
        <v>304</v>
      </c>
      <c r="D143" s="17"/>
      <c r="F143" s="17"/>
      <c r="H143" s="17">
        <v>30.15</v>
      </c>
      <c r="I143" s="15">
        <v>0</v>
      </c>
      <c r="K143" s="16"/>
    </row>
    <row r="144" spans="1:11" s="2" customFormat="1" ht="30" x14ac:dyDescent="0.25">
      <c r="A144" s="20" t="s">
        <v>39</v>
      </c>
      <c r="B144" s="21"/>
      <c r="D144" s="7"/>
      <c r="F144" s="7"/>
      <c r="H144" s="7"/>
      <c r="K144" s="13"/>
    </row>
    <row r="145" spans="1:11" s="15" customFormat="1" ht="60" x14ac:dyDescent="0.25">
      <c r="A145" s="16" t="s">
        <v>40</v>
      </c>
      <c r="B145" s="18">
        <v>95</v>
      </c>
      <c r="C145" s="15" t="s">
        <v>300</v>
      </c>
      <c r="D145" s="17"/>
      <c r="F145" s="17"/>
      <c r="H145" s="17">
        <v>16</v>
      </c>
      <c r="I145" s="15">
        <v>800</v>
      </c>
      <c r="K145" s="16"/>
    </row>
    <row r="146" spans="1:11" x14ac:dyDescent="0.25">
      <c r="D146" s="69">
        <f t="shared" ref="D146:I146" si="0">SUM(D2:D145)</f>
        <v>26167.46</v>
      </c>
      <c r="E146" s="54">
        <f t="shared" si="0"/>
        <v>278679</v>
      </c>
      <c r="F146" s="69">
        <f t="shared" si="0"/>
        <v>1754.1599999999999</v>
      </c>
      <c r="G146" s="54">
        <f t="shared" si="0"/>
        <v>2448</v>
      </c>
      <c r="H146" s="69">
        <f t="shared" si="0"/>
        <v>6772.7799999999979</v>
      </c>
      <c r="I146" s="54">
        <f t="shared" si="0"/>
        <v>26335</v>
      </c>
    </row>
  </sheetData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20"/>
  <sheetViews>
    <sheetView workbookViewId="0">
      <selection activeCell="D10" sqref="D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278679</v>
      </c>
      <c r="D13" s="34"/>
      <c r="E13" s="35" t="s">
        <v>33</v>
      </c>
      <c r="F13" s="34"/>
      <c r="G13" s="42">
        <v>26167.46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2448</v>
      </c>
      <c r="D15" s="34"/>
      <c r="E15" s="35" t="s">
        <v>10</v>
      </c>
      <c r="F15" s="34"/>
      <c r="G15" s="42">
        <v>1754.1599999999999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26335</v>
      </c>
      <c r="D17" s="34"/>
      <c r="E17" s="35" t="s">
        <v>278</v>
      </c>
      <c r="F17" s="34"/>
      <c r="G17" s="42">
        <v>6772.7799999999979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K147"/>
  <sheetViews>
    <sheetView workbookViewId="0">
      <pane ySplit="1" topLeftCell="A59" activePane="bottomLeft" state="frozen"/>
      <selection pane="bottomLeft" activeCell="A51" sqref="A51"/>
    </sheetView>
  </sheetViews>
  <sheetFormatPr defaultRowHeight="15" x14ac:dyDescent="0.25"/>
  <cols>
    <col min="1" max="1" width="19.7109375" customWidth="1"/>
    <col min="2" max="2" width="29.85546875" style="12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10.5703125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16" style="1" customWidth="1"/>
  </cols>
  <sheetData>
    <row r="1" spans="1:11" s="4" customFormat="1" x14ac:dyDescent="0.25">
      <c r="A1" s="4" t="s">
        <v>0</v>
      </c>
      <c r="B1" s="10" t="s">
        <v>122</v>
      </c>
      <c r="C1" s="4" t="s">
        <v>5</v>
      </c>
      <c r="D1" s="6" t="s">
        <v>1</v>
      </c>
      <c r="E1" s="50" t="s">
        <v>4</v>
      </c>
      <c r="F1" s="8" t="s">
        <v>2</v>
      </c>
      <c r="G1" s="53" t="s">
        <v>4</v>
      </c>
      <c r="H1" s="8" t="s">
        <v>3</v>
      </c>
      <c r="I1" s="53" t="s">
        <v>4</v>
      </c>
      <c r="J1" s="4" t="s">
        <v>9</v>
      </c>
      <c r="K1" s="3" t="s">
        <v>12</v>
      </c>
    </row>
    <row r="2" spans="1:11" s="335" customFormat="1" x14ac:dyDescent="0.25">
      <c r="A2" s="339" t="s">
        <v>6</v>
      </c>
      <c r="B2" s="341"/>
      <c r="D2" s="336"/>
      <c r="E2" s="337"/>
      <c r="F2" s="336"/>
      <c r="G2" s="337"/>
      <c r="H2" s="336"/>
      <c r="I2" s="337"/>
      <c r="K2" s="338"/>
    </row>
    <row r="3" spans="1:11" s="2" customFormat="1" ht="30" x14ac:dyDescent="0.25">
      <c r="A3" s="13" t="s">
        <v>7</v>
      </c>
      <c r="B3" s="14">
        <v>3038136345</v>
      </c>
      <c r="C3" s="2" t="s">
        <v>226</v>
      </c>
      <c r="D3" s="7"/>
      <c r="E3" s="51"/>
      <c r="F3" s="7">
        <v>1237.3399999999999</v>
      </c>
      <c r="G3" s="51">
        <v>2856</v>
      </c>
      <c r="H3" s="7"/>
      <c r="I3" s="51"/>
      <c r="J3" s="2" t="s">
        <v>10</v>
      </c>
      <c r="K3" s="13"/>
    </row>
    <row r="4" spans="1:11" s="2" customFormat="1" ht="30" x14ac:dyDescent="0.25">
      <c r="A4" s="13" t="s">
        <v>13</v>
      </c>
      <c r="B4" s="14">
        <v>3026210376</v>
      </c>
      <c r="C4" s="2" t="s">
        <v>232</v>
      </c>
      <c r="D4" s="7"/>
      <c r="E4" s="51"/>
      <c r="F4" s="7">
        <v>289.79000000000002</v>
      </c>
      <c r="G4" s="51">
        <v>590</v>
      </c>
      <c r="H4" s="7"/>
      <c r="I4" s="51"/>
      <c r="J4" s="2" t="s">
        <v>10</v>
      </c>
      <c r="K4" s="13"/>
    </row>
    <row r="5" spans="1:11" s="2" customFormat="1" ht="30" x14ac:dyDescent="0.25">
      <c r="A5" s="13" t="s">
        <v>36</v>
      </c>
      <c r="B5" s="14">
        <v>3039781986</v>
      </c>
      <c r="C5" s="2" t="s">
        <v>228</v>
      </c>
      <c r="D5" s="7"/>
      <c r="E5" s="51"/>
      <c r="F5" s="7">
        <v>40.89</v>
      </c>
      <c r="G5" s="51">
        <v>0</v>
      </c>
      <c r="H5" s="7"/>
      <c r="I5" s="51"/>
      <c r="J5" s="2" t="s">
        <v>10</v>
      </c>
      <c r="K5" s="13"/>
    </row>
    <row r="6" spans="1:11" s="2" customFormat="1" x14ac:dyDescent="0.25">
      <c r="A6" s="13" t="s">
        <v>34</v>
      </c>
      <c r="B6" s="14">
        <v>3039472917</v>
      </c>
      <c r="C6" s="2" t="s">
        <v>227</v>
      </c>
      <c r="D6" s="7"/>
      <c r="E6" s="51"/>
      <c r="F6" s="7">
        <v>305.45999999999998</v>
      </c>
      <c r="G6" s="51">
        <v>632</v>
      </c>
      <c r="H6" s="7"/>
      <c r="I6" s="51"/>
      <c r="J6" s="2" t="s">
        <v>10</v>
      </c>
      <c r="K6" s="13"/>
    </row>
    <row r="7" spans="1:11" s="2" customFormat="1" x14ac:dyDescent="0.25">
      <c r="A7" s="13" t="s">
        <v>37</v>
      </c>
      <c r="B7" s="14">
        <v>4005211270</v>
      </c>
      <c r="C7" s="2" t="s">
        <v>224</v>
      </c>
      <c r="D7" s="7"/>
      <c r="E7" s="51"/>
      <c r="F7" s="7">
        <v>150.06</v>
      </c>
      <c r="G7" s="51">
        <v>259</v>
      </c>
      <c r="H7" s="7"/>
      <c r="I7" s="51"/>
      <c r="J7" s="2" t="s">
        <v>10</v>
      </c>
      <c r="K7" s="13"/>
    </row>
    <row r="8" spans="1:11" s="2" customFormat="1" ht="45" x14ac:dyDescent="0.25">
      <c r="A8" s="13" t="s">
        <v>41</v>
      </c>
      <c r="B8" s="14">
        <v>3044004323</v>
      </c>
      <c r="C8" s="2" t="s">
        <v>226</v>
      </c>
      <c r="D8" s="7"/>
      <c r="E8" s="51"/>
      <c r="F8" s="7">
        <v>120.4</v>
      </c>
      <c r="G8" s="51">
        <v>199</v>
      </c>
      <c r="H8" s="7"/>
      <c r="I8" s="51"/>
      <c r="J8" s="2" t="s">
        <v>10</v>
      </c>
      <c r="K8" s="13"/>
    </row>
    <row r="9" spans="1:11" s="2" customFormat="1" ht="45" x14ac:dyDescent="0.25">
      <c r="A9" s="13" t="s">
        <v>42</v>
      </c>
      <c r="B9" s="14">
        <v>3029257704</v>
      </c>
      <c r="C9" s="2" t="s">
        <v>226</v>
      </c>
      <c r="D9" s="7"/>
      <c r="E9" s="51"/>
      <c r="F9" s="7">
        <v>73.64</v>
      </c>
      <c r="G9" s="51">
        <v>79</v>
      </c>
      <c r="H9" s="7"/>
      <c r="I9" s="51"/>
      <c r="J9" s="2" t="s">
        <v>10</v>
      </c>
      <c r="K9" s="13"/>
    </row>
    <row r="10" spans="1:11" s="2" customFormat="1" ht="30" x14ac:dyDescent="0.25">
      <c r="A10" s="13" t="s">
        <v>44</v>
      </c>
      <c r="B10" s="14">
        <v>3039640691</v>
      </c>
      <c r="C10" s="2" t="s">
        <v>225</v>
      </c>
      <c r="D10" s="7"/>
      <c r="E10" s="51"/>
      <c r="F10" s="7">
        <v>460.78</v>
      </c>
      <c r="G10" s="51">
        <v>995</v>
      </c>
      <c r="H10" s="7"/>
      <c r="I10" s="51"/>
      <c r="J10" s="2" t="s">
        <v>10</v>
      </c>
      <c r="K10" s="13"/>
    </row>
    <row r="11" spans="1:11" s="2" customFormat="1" ht="30" x14ac:dyDescent="0.25">
      <c r="A11" s="13" t="s">
        <v>43</v>
      </c>
      <c r="B11" s="14">
        <v>303978225</v>
      </c>
      <c r="C11" s="2" t="s">
        <v>225</v>
      </c>
      <c r="D11" s="7"/>
      <c r="E11" s="51"/>
      <c r="F11" s="7">
        <v>234.58</v>
      </c>
      <c r="G11" s="51">
        <v>459</v>
      </c>
      <c r="H11" s="7"/>
      <c r="I11" s="51"/>
      <c r="J11" s="2" t="s">
        <v>10</v>
      </c>
      <c r="K11" s="13"/>
    </row>
    <row r="12" spans="1:11" s="2" customFormat="1" ht="45" x14ac:dyDescent="0.25">
      <c r="A12" s="13" t="s">
        <v>45</v>
      </c>
      <c r="B12" s="14">
        <v>3039618715</v>
      </c>
      <c r="C12" s="2" t="s">
        <v>226</v>
      </c>
      <c r="D12" s="7"/>
      <c r="E12" s="51"/>
      <c r="F12" s="7">
        <v>65.05</v>
      </c>
      <c r="G12" s="51">
        <v>57</v>
      </c>
      <c r="H12" s="7"/>
      <c r="I12" s="51"/>
      <c r="J12" s="2" t="s">
        <v>10</v>
      </c>
      <c r="K12" s="13"/>
    </row>
    <row r="13" spans="1:11" s="2" customFormat="1" ht="30" x14ac:dyDescent="0.25">
      <c r="A13" s="13" t="s">
        <v>46</v>
      </c>
      <c r="B13" s="14">
        <v>3023189549</v>
      </c>
      <c r="C13" s="2" t="s">
        <v>231</v>
      </c>
      <c r="D13" s="7"/>
      <c r="E13" s="51"/>
      <c r="F13" s="7">
        <v>53.54</v>
      </c>
      <c r="G13" s="51">
        <v>30</v>
      </c>
      <c r="H13" s="7"/>
      <c r="I13" s="51"/>
      <c r="J13" s="2" t="s">
        <v>10</v>
      </c>
      <c r="K13" s="13"/>
    </row>
    <row r="14" spans="1:11" s="2" customFormat="1" ht="30" x14ac:dyDescent="0.25">
      <c r="A14" s="13" t="s">
        <v>47</v>
      </c>
      <c r="B14" s="14">
        <v>3034878837</v>
      </c>
      <c r="C14" s="2" t="s">
        <v>225</v>
      </c>
      <c r="D14" s="7"/>
      <c r="E14" s="51"/>
      <c r="F14" s="7">
        <v>286.83</v>
      </c>
      <c r="G14" s="51">
        <v>583</v>
      </c>
      <c r="H14" s="7"/>
      <c r="I14" s="51"/>
      <c r="J14" s="2" t="s">
        <v>10</v>
      </c>
      <c r="K14" s="13"/>
    </row>
    <row r="15" spans="1:11" s="2" customFormat="1" ht="30" x14ac:dyDescent="0.25">
      <c r="A15" s="13" t="s">
        <v>64</v>
      </c>
      <c r="B15" s="14">
        <v>3025670416</v>
      </c>
      <c r="C15" s="2" t="s">
        <v>224</v>
      </c>
      <c r="D15" s="7"/>
      <c r="E15" s="51"/>
      <c r="F15" s="7">
        <v>83.04</v>
      </c>
      <c r="G15" s="51">
        <v>100</v>
      </c>
      <c r="H15" s="7"/>
      <c r="I15" s="51"/>
      <c r="J15" s="2" t="s">
        <v>10</v>
      </c>
      <c r="K15" s="13"/>
    </row>
    <row r="16" spans="1:11" s="2" customFormat="1" ht="30" x14ac:dyDescent="0.25">
      <c r="A16" s="13" t="s">
        <v>65</v>
      </c>
      <c r="B16" s="14">
        <v>3023110891</v>
      </c>
      <c r="C16" s="2" t="s">
        <v>230</v>
      </c>
      <c r="D16" s="7"/>
      <c r="E16" s="51"/>
      <c r="F16" s="7">
        <v>341.25</v>
      </c>
      <c r="G16" s="51">
        <v>712</v>
      </c>
      <c r="H16" s="7"/>
      <c r="I16" s="51"/>
      <c r="J16" s="2" t="s">
        <v>10</v>
      </c>
      <c r="K16" s="13"/>
    </row>
    <row r="17" spans="1:11" s="2" customFormat="1" ht="30" x14ac:dyDescent="0.25">
      <c r="A17" s="13" t="s">
        <v>69</v>
      </c>
      <c r="B17" s="14">
        <v>3022125574</v>
      </c>
      <c r="C17" s="2" t="s">
        <v>229</v>
      </c>
      <c r="D17" s="7"/>
      <c r="E17" s="51"/>
      <c r="F17" s="7">
        <v>41.28</v>
      </c>
      <c r="G17" s="51">
        <v>42</v>
      </c>
      <c r="H17" s="7"/>
      <c r="I17" s="51"/>
      <c r="J17" s="2" t="s">
        <v>10</v>
      </c>
      <c r="K17" s="13"/>
    </row>
    <row r="18" spans="1:11" s="2" customFormat="1" ht="30" x14ac:dyDescent="0.25">
      <c r="A18" s="13" t="s">
        <v>68</v>
      </c>
      <c r="B18" s="14">
        <v>3022125841</v>
      </c>
      <c r="C18" s="2" t="s">
        <v>229</v>
      </c>
      <c r="D18" s="7"/>
      <c r="E18" s="51"/>
      <c r="F18" s="7">
        <v>62.07</v>
      </c>
      <c r="G18" s="51">
        <v>45</v>
      </c>
      <c r="H18" s="7"/>
      <c r="I18" s="51"/>
      <c r="J18" s="2" t="s">
        <v>10</v>
      </c>
      <c r="K18" s="13"/>
    </row>
    <row r="19" spans="1:11" s="335" customFormat="1" x14ac:dyDescent="0.25">
      <c r="A19" s="333" t="s">
        <v>25</v>
      </c>
      <c r="B19" s="342"/>
      <c r="D19" s="336"/>
      <c r="E19" s="337"/>
      <c r="F19" s="336"/>
      <c r="G19" s="337"/>
      <c r="H19" s="336"/>
      <c r="I19" s="337"/>
      <c r="K19" s="338"/>
    </row>
    <row r="20" spans="1:11" s="2" customFormat="1" ht="30" x14ac:dyDescent="0.25">
      <c r="A20" s="13" t="s">
        <v>17</v>
      </c>
      <c r="B20" s="14">
        <v>8934894</v>
      </c>
      <c r="C20" s="2" t="s">
        <v>259</v>
      </c>
      <c r="D20" s="7">
        <v>14.6</v>
      </c>
      <c r="E20" s="51">
        <v>0</v>
      </c>
      <c r="F20" s="7"/>
      <c r="G20" s="51"/>
      <c r="H20" s="7"/>
      <c r="I20" s="51"/>
      <c r="J20" s="2" t="s">
        <v>33</v>
      </c>
      <c r="K20" s="13"/>
    </row>
    <row r="21" spans="1:11" s="2" customFormat="1" ht="30" x14ac:dyDescent="0.25">
      <c r="A21" s="13" t="s">
        <v>19</v>
      </c>
      <c r="B21" s="14">
        <v>7010755</v>
      </c>
      <c r="C21" s="2" t="s">
        <v>247</v>
      </c>
      <c r="D21" s="7">
        <v>244.74</v>
      </c>
      <c r="E21" s="51">
        <v>1403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22</v>
      </c>
      <c r="B22" s="14">
        <v>5264554</v>
      </c>
      <c r="C22" s="2" t="s">
        <v>148</v>
      </c>
      <c r="D22" s="7">
        <v>25.93</v>
      </c>
      <c r="E22" s="51">
        <v>140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21</v>
      </c>
      <c r="B23" s="14">
        <v>4968878</v>
      </c>
      <c r="C23" s="2" t="s">
        <v>251</v>
      </c>
      <c r="D23" s="7">
        <v>37.1</v>
      </c>
      <c r="E23" s="51">
        <v>991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24</v>
      </c>
      <c r="B24" s="14">
        <v>4892432</v>
      </c>
      <c r="C24" s="2" t="s">
        <v>251</v>
      </c>
      <c r="D24" s="7">
        <v>138.26</v>
      </c>
      <c r="E24" s="51">
        <v>2744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256</v>
      </c>
      <c r="B25" s="14">
        <v>5276024</v>
      </c>
      <c r="C25" s="2" t="s">
        <v>251</v>
      </c>
      <c r="D25" s="7">
        <v>22.87</v>
      </c>
      <c r="E25" s="51">
        <v>150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26</v>
      </c>
      <c r="B26" s="14">
        <v>149091</v>
      </c>
      <c r="C26" s="2" t="s">
        <v>148</v>
      </c>
      <c r="D26" s="7">
        <v>18.95</v>
      </c>
      <c r="E26" s="51">
        <v>80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28</v>
      </c>
      <c r="B27" s="14">
        <v>5265050</v>
      </c>
      <c r="C27" s="2" t="s">
        <v>148</v>
      </c>
      <c r="D27" s="7">
        <v>22.85</v>
      </c>
      <c r="E27" s="51">
        <v>150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29</v>
      </c>
      <c r="B28" s="14">
        <v>5265019</v>
      </c>
      <c r="C28" s="2" t="s">
        <v>148</v>
      </c>
      <c r="D28" s="7">
        <v>16.190000000000001</v>
      </c>
      <c r="E28" s="51">
        <v>70</v>
      </c>
      <c r="F28" s="7"/>
      <c r="G28" s="51"/>
      <c r="H28" s="7"/>
      <c r="I28" s="51"/>
      <c r="J28" s="2" t="s">
        <v>33</v>
      </c>
      <c r="K28" s="13"/>
    </row>
    <row r="29" spans="1:11" s="2" customFormat="1" ht="30" x14ac:dyDescent="0.25">
      <c r="A29" s="13" t="s">
        <v>30</v>
      </c>
      <c r="B29" s="14">
        <v>4914473</v>
      </c>
      <c r="C29" s="2" t="s">
        <v>148</v>
      </c>
      <c r="D29" s="7">
        <v>936.45</v>
      </c>
      <c r="E29" s="51">
        <v>12180</v>
      </c>
      <c r="F29" s="7"/>
      <c r="G29" s="51"/>
      <c r="H29" s="7"/>
      <c r="I29" s="51"/>
      <c r="J29" s="2" t="s">
        <v>33</v>
      </c>
      <c r="K29" s="13"/>
    </row>
    <row r="30" spans="1:11" s="2" customFormat="1" ht="30" x14ac:dyDescent="0.25">
      <c r="A30" s="13" t="s">
        <v>31</v>
      </c>
      <c r="B30" s="14">
        <v>5041139</v>
      </c>
      <c r="C30" s="2" t="s">
        <v>251</v>
      </c>
      <c r="D30" s="7">
        <v>47.12</v>
      </c>
      <c r="E30" s="51">
        <v>412</v>
      </c>
      <c r="F30" s="7"/>
      <c r="G30" s="51"/>
      <c r="H30" s="7"/>
      <c r="I30" s="51"/>
      <c r="J30" s="2" t="s">
        <v>33</v>
      </c>
      <c r="K30" s="13"/>
    </row>
    <row r="31" spans="1:11" s="2" customFormat="1" ht="30" x14ac:dyDescent="0.25">
      <c r="A31" s="13" t="s">
        <v>32</v>
      </c>
      <c r="B31" s="14">
        <v>5021826</v>
      </c>
      <c r="C31" s="2" t="s">
        <v>154</v>
      </c>
      <c r="D31" s="7">
        <v>30.55</v>
      </c>
      <c r="E31" s="51">
        <v>198</v>
      </c>
      <c r="F31" s="7"/>
      <c r="G31" s="51"/>
      <c r="H31" s="7"/>
      <c r="I31" s="51"/>
      <c r="J31" s="2" t="s">
        <v>33</v>
      </c>
      <c r="K31" s="13"/>
    </row>
    <row r="32" spans="1:11" s="2" customFormat="1" x14ac:dyDescent="0.25">
      <c r="A32" s="13" t="s">
        <v>34</v>
      </c>
      <c r="B32" s="14">
        <v>5028615</v>
      </c>
      <c r="C32" s="31" t="s">
        <v>259</v>
      </c>
      <c r="D32" s="7">
        <v>747.01</v>
      </c>
      <c r="E32" s="51">
        <v>5560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38</v>
      </c>
      <c r="B33" s="14">
        <v>5231911</v>
      </c>
      <c r="C33" s="2" t="s">
        <v>259</v>
      </c>
      <c r="D33" s="7">
        <v>22.85</v>
      </c>
      <c r="E33" s="51">
        <v>150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47</v>
      </c>
      <c r="B34" s="14">
        <v>4914628</v>
      </c>
      <c r="C34" s="2" t="s">
        <v>259</v>
      </c>
      <c r="D34" s="7">
        <v>507.86</v>
      </c>
      <c r="E34" s="51">
        <v>4303</v>
      </c>
      <c r="F34" s="7"/>
      <c r="G34" s="51"/>
      <c r="H34" s="7"/>
      <c r="I34" s="51"/>
      <c r="J34" s="2" t="s">
        <v>33</v>
      </c>
      <c r="K34" s="13"/>
    </row>
    <row r="35" spans="1:11" s="2" customFormat="1" ht="30" x14ac:dyDescent="0.25">
      <c r="A35" s="13" t="s">
        <v>48</v>
      </c>
      <c r="B35" s="14">
        <v>5262911</v>
      </c>
      <c r="C35" s="2" t="s">
        <v>259</v>
      </c>
      <c r="D35" s="7">
        <v>16.190000000000001</v>
      </c>
      <c r="E35" s="51">
        <v>70</v>
      </c>
      <c r="F35" s="7"/>
      <c r="G35" s="51"/>
      <c r="H35" s="7"/>
      <c r="I35" s="51"/>
      <c r="J35" s="2" t="s">
        <v>33</v>
      </c>
      <c r="K35" s="13"/>
    </row>
    <row r="36" spans="1:11" s="2" customFormat="1" ht="30" x14ac:dyDescent="0.25">
      <c r="A36" s="13" t="s">
        <v>246</v>
      </c>
      <c r="B36" s="14">
        <v>8463322</v>
      </c>
      <c r="C36" s="2" t="s">
        <v>247</v>
      </c>
      <c r="D36" s="7">
        <v>5155.43</v>
      </c>
      <c r="E36" s="51">
        <v>80300</v>
      </c>
      <c r="F36" s="7"/>
      <c r="G36" s="51"/>
      <c r="H36" s="7"/>
      <c r="I36" s="51"/>
      <c r="J36" s="2" t="s">
        <v>33</v>
      </c>
      <c r="K36" s="13"/>
    </row>
    <row r="37" spans="1:11" s="2" customFormat="1" ht="30" x14ac:dyDescent="0.25">
      <c r="A37" s="13" t="s">
        <v>113</v>
      </c>
      <c r="B37" s="14">
        <v>5089282</v>
      </c>
      <c r="C37" s="2" t="s">
        <v>247</v>
      </c>
      <c r="D37" s="7">
        <v>431.18</v>
      </c>
      <c r="E37" s="51">
        <v>600</v>
      </c>
      <c r="F37" s="7"/>
      <c r="G37" s="51"/>
      <c r="H37" s="7"/>
      <c r="I37" s="51"/>
      <c r="J37" s="2" t="s">
        <v>33</v>
      </c>
      <c r="K37" s="13"/>
    </row>
    <row r="38" spans="1:11" s="2" customFormat="1" ht="30" x14ac:dyDescent="0.25">
      <c r="A38" s="13" t="s">
        <v>114</v>
      </c>
      <c r="B38" s="14">
        <v>5089344</v>
      </c>
      <c r="C38" s="2" t="s">
        <v>247</v>
      </c>
      <c r="D38" s="7">
        <v>32.5</v>
      </c>
      <c r="E38" s="51">
        <v>227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115</v>
      </c>
      <c r="B39" s="14">
        <v>9261200</v>
      </c>
      <c r="C39" s="2" t="s">
        <v>247</v>
      </c>
      <c r="D39" s="7">
        <v>75.430000000000007</v>
      </c>
      <c r="E39" s="51">
        <v>783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116</v>
      </c>
      <c r="B40" s="14">
        <v>5105092</v>
      </c>
      <c r="C40" s="2" t="s">
        <v>247</v>
      </c>
      <c r="D40" s="7">
        <v>377.46</v>
      </c>
      <c r="E40" s="51">
        <v>4010</v>
      </c>
      <c r="F40" s="7"/>
      <c r="G40" s="51"/>
      <c r="H40" s="7"/>
      <c r="I40" s="51"/>
      <c r="J40" s="2" t="s">
        <v>33</v>
      </c>
      <c r="K40" s="13"/>
    </row>
    <row r="41" spans="1:11" s="2" customFormat="1" ht="30" x14ac:dyDescent="0.25">
      <c r="A41" s="13" t="s">
        <v>119</v>
      </c>
      <c r="B41" s="14">
        <v>5074402</v>
      </c>
      <c r="C41" s="2" t="s">
        <v>249</v>
      </c>
      <c r="D41" s="7">
        <v>14.6</v>
      </c>
      <c r="E41" s="51">
        <v>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248</v>
      </c>
      <c r="B42" s="14">
        <v>5264802</v>
      </c>
      <c r="C42" s="2" t="s">
        <v>249</v>
      </c>
      <c r="D42" s="7">
        <v>113.67</v>
      </c>
      <c r="E42" s="51">
        <v>770</v>
      </c>
      <c r="F42" s="7"/>
      <c r="G42" s="51"/>
      <c r="H42" s="7"/>
      <c r="I42" s="51"/>
      <c r="J42" s="2" t="s">
        <v>33</v>
      </c>
      <c r="K42" s="13"/>
    </row>
    <row r="43" spans="1:11" s="2" customFormat="1" x14ac:dyDescent="0.25">
      <c r="A43" s="13" t="s">
        <v>121</v>
      </c>
      <c r="B43" s="14">
        <v>8234139</v>
      </c>
      <c r="C43" s="2" t="s">
        <v>249</v>
      </c>
      <c r="D43" s="7">
        <v>59.57</v>
      </c>
      <c r="E43" s="51">
        <v>557</v>
      </c>
      <c r="F43" s="7"/>
      <c r="G43" s="51"/>
      <c r="H43" s="7"/>
      <c r="I43" s="51"/>
      <c r="J43" s="2" t="s">
        <v>33</v>
      </c>
      <c r="K43" s="13"/>
    </row>
    <row r="44" spans="1:11" s="2" customFormat="1" x14ac:dyDescent="0.25">
      <c r="A44" s="13" t="s">
        <v>250</v>
      </c>
      <c r="B44" s="14">
        <v>5074495</v>
      </c>
      <c r="C44" s="2" t="s">
        <v>249</v>
      </c>
      <c r="D44" s="7">
        <v>14.6</v>
      </c>
      <c r="E44" s="51">
        <v>0</v>
      </c>
      <c r="F44" s="7"/>
      <c r="G44" s="51"/>
      <c r="H44" s="7"/>
      <c r="I44" s="51"/>
      <c r="J44" s="2" t="s">
        <v>33</v>
      </c>
      <c r="K44" s="13"/>
    </row>
    <row r="45" spans="1:11" s="2" customFormat="1" ht="45" x14ac:dyDescent="0.25">
      <c r="A45" s="13" t="s">
        <v>123</v>
      </c>
      <c r="B45" s="14">
        <v>5036644</v>
      </c>
      <c r="C45" s="2" t="s">
        <v>154</v>
      </c>
      <c r="D45" s="7">
        <v>316.20999999999998</v>
      </c>
      <c r="E45" s="51">
        <v>2820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127</v>
      </c>
      <c r="B46" s="14">
        <v>5020429</v>
      </c>
      <c r="C46" s="2" t="s">
        <v>154</v>
      </c>
      <c r="D46" s="7">
        <v>22.41</v>
      </c>
      <c r="E46" s="51">
        <v>150</v>
      </c>
      <c r="F46" s="7"/>
      <c r="G46" s="51"/>
      <c r="H46" s="7"/>
      <c r="I46" s="51"/>
      <c r="J46" s="2" t="s">
        <v>33</v>
      </c>
      <c r="K46" s="13"/>
    </row>
    <row r="47" spans="1:11" s="2" customFormat="1" ht="30" x14ac:dyDescent="0.25">
      <c r="A47" s="13" t="s">
        <v>125</v>
      </c>
      <c r="B47" s="14">
        <v>6722734</v>
      </c>
      <c r="C47" s="2" t="s">
        <v>154</v>
      </c>
      <c r="D47" s="7">
        <v>330.2</v>
      </c>
      <c r="E47" s="51">
        <v>2517</v>
      </c>
      <c r="F47" s="7"/>
      <c r="G47" s="51"/>
      <c r="H47" s="7"/>
      <c r="I47" s="51"/>
      <c r="J47" s="2" t="s">
        <v>33</v>
      </c>
      <c r="K47" s="13"/>
    </row>
    <row r="48" spans="1:11" s="2" customFormat="1" ht="30" x14ac:dyDescent="0.25">
      <c r="A48" s="13" t="s">
        <v>126</v>
      </c>
      <c r="B48" s="19">
        <v>5037202</v>
      </c>
      <c r="C48" s="2" t="s">
        <v>154</v>
      </c>
      <c r="D48" s="7">
        <v>17.79</v>
      </c>
      <c r="E48" s="51">
        <v>44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128</v>
      </c>
      <c r="B49" s="14">
        <v>5037326</v>
      </c>
      <c r="C49" s="2" t="s">
        <v>154</v>
      </c>
      <c r="D49" s="7">
        <v>45.59</v>
      </c>
      <c r="E49" s="51">
        <v>396</v>
      </c>
      <c r="F49" s="7"/>
      <c r="G49" s="51"/>
      <c r="H49" s="7"/>
      <c r="I49" s="51"/>
      <c r="J49" s="2" t="s">
        <v>33</v>
      </c>
      <c r="K49" s="13"/>
    </row>
    <row r="50" spans="1:11" s="2" customFormat="1" x14ac:dyDescent="0.25">
      <c r="A50" s="13" t="s">
        <v>37</v>
      </c>
      <c r="B50" s="14">
        <v>5064854</v>
      </c>
      <c r="C50" s="2" t="s">
        <v>154</v>
      </c>
      <c r="D50" s="7">
        <v>653.96</v>
      </c>
      <c r="E50" s="51">
        <v>7680</v>
      </c>
      <c r="F50" s="7"/>
      <c r="G50" s="51"/>
      <c r="H50" s="7"/>
      <c r="I50" s="51"/>
      <c r="J50" s="2" t="s">
        <v>33</v>
      </c>
      <c r="K50" s="13"/>
    </row>
    <row r="51" spans="1:11" s="2" customFormat="1" ht="45" x14ac:dyDescent="0.25">
      <c r="A51" s="13" t="s">
        <v>129</v>
      </c>
      <c r="B51" s="14">
        <v>4964784</v>
      </c>
      <c r="C51" s="2" t="s">
        <v>154</v>
      </c>
      <c r="D51" s="7">
        <v>22.85</v>
      </c>
      <c r="E51" s="51">
        <v>150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151</v>
      </c>
      <c r="B52" s="14">
        <v>710315</v>
      </c>
      <c r="C52" s="2" t="s">
        <v>149</v>
      </c>
      <c r="D52" s="7">
        <v>14.6</v>
      </c>
      <c r="E52" s="51">
        <v>0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150</v>
      </c>
      <c r="B53" s="14">
        <v>7480591</v>
      </c>
      <c r="C53" s="2" t="s">
        <v>149</v>
      </c>
      <c r="D53" s="7">
        <v>738.4</v>
      </c>
      <c r="E53" s="51">
        <v>8822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152</v>
      </c>
      <c r="B54" s="14">
        <v>9498071</v>
      </c>
      <c r="C54" s="2" t="s">
        <v>149</v>
      </c>
      <c r="D54" s="7">
        <v>190.53</v>
      </c>
      <c r="E54" s="51">
        <v>320</v>
      </c>
      <c r="F54" s="7"/>
      <c r="G54" s="51"/>
      <c r="H54" s="7"/>
      <c r="I54" s="51"/>
      <c r="J54" s="2" t="s">
        <v>33</v>
      </c>
      <c r="K54" s="13"/>
    </row>
    <row r="55" spans="1:11" s="2" customFormat="1" ht="45" x14ac:dyDescent="0.25">
      <c r="A55" s="13" t="s">
        <v>153</v>
      </c>
      <c r="B55" s="2">
        <v>8327232</v>
      </c>
      <c r="C55" s="2" t="s">
        <v>149</v>
      </c>
      <c r="D55" s="7">
        <v>47.65</v>
      </c>
      <c r="E55" s="51">
        <v>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46</v>
      </c>
      <c r="B56" s="2">
        <v>5027654</v>
      </c>
      <c r="C56" s="2" t="s">
        <v>148</v>
      </c>
      <c r="D56" s="7">
        <v>274.39</v>
      </c>
      <c r="E56" s="51">
        <v>2532</v>
      </c>
      <c r="F56" s="7"/>
      <c r="G56" s="51"/>
      <c r="H56" s="7"/>
      <c r="I56" s="51"/>
      <c r="J56" s="2" t="s">
        <v>33</v>
      </c>
      <c r="K56" s="13"/>
    </row>
    <row r="57" spans="1:11" s="2" customFormat="1" ht="30" x14ac:dyDescent="0.25">
      <c r="A57" s="13" t="s">
        <v>240</v>
      </c>
      <c r="B57" s="2">
        <v>5031405</v>
      </c>
      <c r="C57" s="2" t="s">
        <v>148</v>
      </c>
      <c r="D57" s="7">
        <v>1221.8399999999999</v>
      </c>
      <c r="E57" s="51">
        <v>12840</v>
      </c>
      <c r="F57" s="7"/>
      <c r="G57" s="51"/>
      <c r="H57" s="7"/>
      <c r="I57" s="51"/>
      <c r="J57" s="2" t="s">
        <v>33</v>
      </c>
      <c r="K57" s="13"/>
    </row>
    <row r="58" spans="1:11" s="2" customFormat="1" ht="30" x14ac:dyDescent="0.25">
      <c r="A58" s="13" t="s">
        <v>241</v>
      </c>
      <c r="B58" s="2">
        <v>4912148</v>
      </c>
      <c r="C58" s="2" t="s">
        <v>148</v>
      </c>
      <c r="D58" s="7">
        <v>302.13</v>
      </c>
      <c r="E58" s="51">
        <v>1260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242</v>
      </c>
      <c r="B59" s="2">
        <v>4426036</v>
      </c>
      <c r="C59" s="2" t="s">
        <v>148</v>
      </c>
      <c r="D59" s="7">
        <v>367.77</v>
      </c>
      <c r="E59" s="51">
        <v>2100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243</v>
      </c>
      <c r="B60" s="2">
        <v>4426005</v>
      </c>
      <c r="C60" s="2" t="s">
        <v>148</v>
      </c>
      <c r="D60" s="7">
        <v>1560.17</v>
      </c>
      <c r="E60" s="51">
        <v>12000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244</v>
      </c>
      <c r="B61" s="2">
        <v>8184322</v>
      </c>
      <c r="C61" s="2" t="s">
        <v>148</v>
      </c>
      <c r="D61" s="7">
        <v>533.26</v>
      </c>
      <c r="E61" s="51">
        <v>3040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244</v>
      </c>
      <c r="B62" s="2">
        <v>117936</v>
      </c>
      <c r="C62" s="2" t="s">
        <v>148</v>
      </c>
      <c r="D62" s="7">
        <v>136.30000000000001</v>
      </c>
      <c r="E62" s="51">
        <v>440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64</v>
      </c>
      <c r="B63" s="2">
        <v>4932391</v>
      </c>
      <c r="C63" s="2" t="s">
        <v>149</v>
      </c>
      <c r="D63" s="7">
        <v>263.48</v>
      </c>
      <c r="E63" s="51">
        <v>2069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245</v>
      </c>
      <c r="B64" s="2">
        <v>4962800</v>
      </c>
      <c r="C64" s="2" t="s">
        <v>149</v>
      </c>
      <c r="D64" s="7">
        <v>27.53</v>
      </c>
      <c r="E64" s="51">
        <v>160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252</v>
      </c>
      <c r="B65" s="2">
        <v>8239130</v>
      </c>
      <c r="C65" s="2" t="s">
        <v>247</v>
      </c>
      <c r="D65" s="7">
        <v>37.090000000000003</v>
      </c>
      <c r="E65" s="51">
        <v>285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253</v>
      </c>
      <c r="B66" s="2">
        <v>4934809</v>
      </c>
      <c r="C66" s="2" t="s">
        <v>149</v>
      </c>
      <c r="D66" s="7">
        <v>24.41</v>
      </c>
      <c r="E66" s="51">
        <v>120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254</v>
      </c>
      <c r="B67" s="2">
        <v>4955887</v>
      </c>
      <c r="C67" s="2" t="s">
        <v>149</v>
      </c>
      <c r="D67" s="7">
        <v>25.92</v>
      </c>
      <c r="E67" s="51">
        <v>140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255</v>
      </c>
      <c r="B68" s="2">
        <v>6973803</v>
      </c>
      <c r="C68" s="2" t="s">
        <v>149</v>
      </c>
      <c r="D68" s="7">
        <v>14.6</v>
      </c>
      <c r="E68" s="51">
        <v>0</v>
      </c>
      <c r="F68" s="7"/>
      <c r="G68" s="51"/>
      <c r="H68" s="7"/>
      <c r="I68" s="51"/>
      <c r="J68" s="2" t="s">
        <v>33</v>
      </c>
      <c r="K68" s="13"/>
    </row>
    <row r="69" spans="1:11" s="335" customFormat="1" ht="30" x14ac:dyDescent="0.25">
      <c r="A69" s="333" t="s">
        <v>39</v>
      </c>
      <c r="B69" s="342"/>
      <c r="D69" s="336"/>
      <c r="E69" s="337"/>
      <c r="F69" s="336"/>
      <c r="G69" s="337"/>
      <c r="H69" s="336"/>
      <c r="I69" s="337"/>
      <c r="K69" s="338"/>
    </row>
    <row r="70" spans="1:11" s="2" customFormat="1" ht="60" x14ac:dyDescent="0.25">
      <c r="A70" s="13" t="s">
        <v>40</v>
      </c>
      <c r="B70" s="14">
        <v>95</v>
      </c>
      <c r="C70" s="2" t="s">
        <v>158</v>
      </c>
      <c r="D70" s="7"/>
      <c r="E70" s="51"/>
      <c r="F70" s="7"/>
      <c r="G70" s="51"/>
      <c r="H70" s="7">
        <v>16</v>
      </c>
      <c r="I70" s="51">
        <v>300</v>
      </c>
      <c r="K70" s="13"/>
    </row>
    <row r="71" spans="1:11" s="2" customFormat="1" ht="45" x14ac:dyDescent="0.25">
      <c r="A71" s="20" t="s">
        <v>49</v>
      </c>
      <c r="B71" s="21"/>
      <c r="D71" s="7"/>
      <c r="E71" s="51"/>
      <c r="F71" s="7"/>
      <c r="G71" s="51"/>
      <c r="H71" s="7"/>
      <c r="I71" s="51"/>
      <c r="K71" s="13"/>
    </row>
    <row r="72" spans="1:11" s="2" customFormat="1" ht="30" x14ac:dyDescent="0.25">
      <c r="A72" s="13" t="s">
        <v>223</v>
      </c>
      <c r="B72" s="14" t="s">
        <v>200</v>
      </c>
      <c r="C72" s="2" t="s">
        <v>164</v>
      </c>
      <c r="D72" s="7">
        <v>471</v>
      </c>
      <c r="E72" s="51">
        <v>2720</v>
      </c>
      <c r="F72" s="7"/>
      <c r="G72" s="51"/>
      <c r="H72" s="7"/>
      <c r="I72" s="51"/>
      <c r="J72" s="2" t="s">
        <v>33</v>
      </c>
      <c r="K72" s="13"/>
    </row>
    <row r="73" spans="1:11" s="2" customFormat="1" ht="30" x14ac:dyDescent="0.25">
      <c r="A73" s="13" t="s">
        <v>94</v>
      </c>
      <c r="B73" s="14" t="s">
        <v>201</v>
      </c>
      <c r="C73" s="2" t="s">
        <v>164</v>
      </c>
      <c r="D73" s="7">
        <v>50</v>
      </c>
      <c r="E73" s="51">
        <v>116</v>
      </c>
      <c r="F73" s="7"/>
      <c r="G73" s="51"/>
      <c r="H73" s="7"/>
      <c r="I73" s="51"/>
      <c r="J73" s="2" t="s">
        <v>33</v>
      </c>
      <c r="K73" s="13"/>
    </row>
    <row r="74" spans="1:11" s="2" customFormat="1" ht="30" x14ac:dyDescent="0.25">
      <c r="A74" s="13" t="s">
        <v>110</v>
      </c>
      <c r="B74" s="14" t="s">
        <v>207</v>
      </c>
      <c r="C74" s="2" t="s">
        <v>164</v>
      </c>
      <c r="D74" s="7">
        <v>135</v>
      </c>
      <c r="E74" s="51">
        <v>687</v>
      </c>
      <c r="F74" s="7"/>
      <c r="G74" s="51"/>
      <c r="H74" s="7"/>
      <c r="I74" s="51"/>
      <c r="J74" s="2" t="s">
        <v>33</v>
      </c>
      <c r="K74" s="13"/>
    </row>
    <row r="75" spans="1:11" s="2" customFormat="1" ht="60" x14ac:dyDescent="0.25">
      <c r="A75" s="13" t="s">
        <v>52</v>
      </c>
      <c r="B75" s="14" t="s">
        <v>209</v>
      </c>
      <c r="C75" s="2" t="s">
        <v>164</v>
      </c>
      <c r="D75" s="7">
        <v>203</v>
      </c>
      <c r="E75" s="51">
        <v>1722</v>
      </c>
      <c r="F75" s="7"/>
      <c r="G75" s="51"/>
      <c r="H75" s="7"/>
      <c r="I75" s="51"/>
      <c r="J75" s="2" t="s">
        <v>33</v>
      </c>
      <c r="K75" s="13"/>
    </row>
    <row r="76" spans="1:11" s="2" customFormat="1" ht="60" x14ac:dyDescent="0.25">
      <c r="A76" s="13" t="s">
        <v>54</v>
      </c>
      <c r="B76" s="14" t="s">
        <v>210</v>
      </c>
      <c r="C76" s="2" t="s">
        <v>164</v>
      </c>
      <c r="D76" s="7">
        <v>41</v>
      </c>
      <c r="E76" s="51">
        <v>103</v>
      </c>
      <c r="F76" s="7"/>
      <c r="G76" s="51"/>
      <c r="H76" s="7"/>
      <c r="I76" s="51"/>
      <c r="J76" s="2" t="s">
        <v>33</v>
      </c>
      <c r="K76" s="13"/>
    </row>
    <row r="77" spans="1:11" s="2" customFormat="1" ht="60" x14ac:dyDescent="0.25">
      <c r="A77" s="13" t="s">
        <v>51</v>
      </c>
      <c r="B77" s="14" t="s">
        <v>208</v>
      </c>
      <c r="C77" s="2" t="s">
        <v>164</v>
      </c>
      <c r="D77" s="7">
        <v>235</v>
      </c>
      <c r="E77" s="51">
        <v>1629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55</v>
      </c>
      <c r="B78" s="14" t="s">
        <v>212</v>
      </c>
      <c r="C78" s="2" t="s">
        <v>164</v>
      </c>
      <c r="D78" s="7">
        <v>37</v>
      </c>
      <c r="E78" s="51">
        <v>5</v>
      </c>
      <c r="F78" s="7"/>
      <c r="G78" s="51"/>
      <c r="H78" s="7"/>
      <c r="I78" s="51"/>
      <c r="J78" s="2" t="s">
        <v>33</v>
      </c>
      <c r="K78" s="13"/>
    </row>
    <row r="79" spans="1:11" s="2" customFormat="1" ht="30" x14ac:dyDescent="0.25">
      <c r="A79" s="13" t="s">
        <v>117</v>
      </c>
      <c r="B79" s="14" t="s">
        <v>220</v>
      </c>
      <c r="C79" s="2" t="s">
        <v>164</v>
      </c>
      <c r="D79" s="7">
        <v>73</v>
      </c>
      <c r="E79" s="51">
        <v>367</v>
      </c>
      <c r="F79" s="7"/>
      <c r="G79" s="51"/>
      <c r="H79" s="7"/>
      <c r="I79" s="51"/>
      <c r="K79" s="13"/>
    </row>
    <row r="80" spans="1:11" s="2" customFormat="1" ht="30" x14ac:dyDescent="0.25">
      <c r="A80" s="13" t="s">
        <v>95</v>
      </c>
      <c r="B80" s="14" t="s">
        <v>202</v>
      </c>
      <c r="C80" s="2" t="s">
        <v>164</v>
      </c>
      <c r="D80" s="7">
        <v>2252</v>
      </c>
      <c r="E80" s="51">
        <v>15240</v>
      </c>
      <c r="F80" s="7"/>
      <c r="G80" s="51"/>
      <c r="H80" s="7"/>
      <c r="I80" s="51"/>
      <c r="J80" s="2" t="s">
        <v>33</v>
      </c>
      <c r="K80" s="13"/>
    </row>
    <row r="81" spans="1:11" s="2" customFormat="1" ht="30" x14ac:dyDescent="0.25">
      <c r="A81" s="13" t="s">
        <v>96</v>
      </c>
      <c r="B81" s="14" t="s">
        <v>203</v>
      </c>
      <c r="C81" s="2" t="s">
        <v>164</v>
      </c>
      <c r="D81" s="7">
        <v>47</v>
      </c>
      <c r="E81" s="51">
        <v>187</v>
      </c>
      <c r="F81" s="7"/>
      <c r="G81" s="51"/>
      <c r="H81" s="7"/>
      <c r="I81" s="51"/>
      <c r="J81" s="2" t="s">
        <v>33</v>
      </c>
      <c r="K81" s="13"/>
    </row>
    <row r="82" spans="1:11" s="2" customFormat="1" ht="30" x14ac:dyDescent="0.25">
      <c r="A82" s="13" t="s">
        <v>111</v>
      </c>
      <c r="B82" s="14" t="s">
        <v>222</v>
      </c>
      <c r="C82" s="2" t="s">
        <v>164</v>
      </c>
      <c r="D82" s="7">
        <v>40</v>
      </c>
      <c r="E82" s="51">
        <v>90</v>
      </c>
      <c r="F82" s="7"/>
      <c r="G82" s="51"/>
      <c r="H82" s="7"/>
      <c r="I82" s="51"/>
      <c r="J82" s="2" t="s">
        <v>33</v>
      </c>
      <c r="K82" s="13"/>
    </row>
    <row r="83" spans="1:11" s="2" customFormat="1" ht="45" x14ac:dyDescent="0.25">
      <c r="A83" s="13" t="s">
        <v>56</v>
      </c>
      <c r="B83" s="14" t="s">
        <v>213</v>
      </c>
      <c r="C83" s="2" t="s">
        <v>164</v>
      </c>
      <c r="D83" s="7">
        <v>27</v>
      </c>
      <c r="E83" s="51">
        <v>78</v>
      </c>
      <c r="F83" s="7"/>
      <c r="G83" s="51"/>
      <c r="H83" s="7"/>
      <c r="I83" s="51"/>
      <c r="J83" s="2" t="s">
        <v>33</v>
      </c>
      <c r="K83" s="13"/>
    </row>
    <row r="84" spans="1:11" s="2" customFormat="1" ht="45" x14ac:dyDescent="0.25">
      <c r="A84" s="13" t="s">
        <v>57</v>
      </c>
      <c r="B84" s="14" t="s">
        <v>214</v>
      </c>
      <c r="C84" s="2" t="s">
        <v>164</v>
      </c>
      <c r="D84" s="7">
        <v>295</v>
      </c>
      <c r="E84" s="51">
        <v>2635</v>
      </c>
      <c r="F84" s="7"/>
      <c r="G84" s="51"/>
      <c r="H84" s="7"/>
      <c r="I84" s="51"/>
      <c r="J84" s="2" t="s">
        <v>33</v>
      </c>
      <c r="K84" s="13"/>
    </row>
    <row r="85" spans="1:11" s="2" customFormat="1" ht="45" x14ac:dyDescent="0.25">
      <c r="A85" s="13" t="s">
        <v>97</v>
      </c>
      <c r="B85" s="14" t="s">
        <v>204</v>
      </c>
      <c r="C85" s="2" t="s">
        <v>164</v>
      </c>
      <c r="D85" s="7">
        <v>38</v>
      </c>
      <c r="E85" s="51">
        <v>12</v>
      </c>
      <c r="F85" s="7"/>
      <c r="G85" s="51"/>
      <c r="H85" s="7"/>
      <c r="I85" s="51"/>
      <c r="J85" s="2" t="s">
        <v>33</v>
      </c>
      <c r="K85" s="13"/>
    </row>
    <row r="86" spans="1:11" s="2" customFormat="1" ht="45" x14ac:dyDescent="0.25">
      <c r="A86" s="13" t="s">
        <v>58</v>
      </c>
      <c r="B86" s="14" t="s">
        <v>215</v>
      </c>
      <c r="C86" s="2" t="s">
        <v>164</v>
      </c>
      <c r="D86" s="7">
        <v>315</v>
      </c>
      <c r="E86" s="51">
        <v>2955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101</v>
      </c>
      <c r="B87" s="14">
        <v>1322699400</v>
      </c>
      <c r="C87" s="2" t="s">
        <v>164</v>
      </c>
      <c r="D87" s="7">
        <v>1430</v>
      </c>
      <c r="E87" s="51">
        <v>6360</v>
      </c>
      <c r="F87" s="7"/>
      <c r="G87" s="51"/>
      <c r="H87" s="7"/>
      <c r="I87" s="51"/>
      <c r="J87" s="2" t="s">
        <v>33</v>
      </c>
      <c r="K87" s="13"/>
    </row>
    <row r="88" spans="1:11" s="2" customFormat="1" ht="45" x14ac:dyDescent="0.25">
      <c r="A88" s="13" t="s">
        <v>59</v>
      </c>
      <c r="B88" s="14" t="s">
        <v>216</v>
      </c>
      <c r="C88" s="2" t="s">
        <v>164</v>
      </c>
      <c r="D88" s="7">
        <v>52</v>
      </c>
      <c r="E88" s="51">
        <v>329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100</v>
      </c>
      <c r="B89" s="14">
        <v>1323346600</v>
      </c>
      <c r="C89" s="2" t="s">
        <v>164</v>
      </c>
      <c r="D89" s="7">
        <v>654</v>
      </c>
      <c r="E89" s="51">
        <v>6000</v>
      </c>
      <c r="F89" s="7"/>
      <c r="G89" s="51"/>
      <c r="H89" s="7"/>
      <c r="I89" s="51"/>
      <c r="J89" s="2" t="s">
        <v>33</v>
      </c>
      <c r="K89" s="13"/>
    </row>
    <row r="90" spans="1:11" s="2" customFormat="1" ht="45" x14ac:dyDescent="0.25">
      <c r="A90" s="13" t="s">
        <v>60</v>
      </c>
      <c r="B90" s="14" t="s">
        <v>217</v>
      </c>
      <c r="C90" s="2" t="s">
        <v>164</v>
      </c>
      <c r="D90" s="7">
        <v>44</v>
      </c>
      <c r="E90" s="51">
        <v>134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118</v>
      </c>
      <c r="B91" s="14" t="s">
        <v>221</v>
      </c>
      <c r="C91" s="2" t="s">
        <v>164</v>
      </c>
      <c r="D91" s="7">
        <v>73</v>
      </c>
      <c r="E91" s="51">
        <v>535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98</v>
      </c>
      <c r="B92" s="14" t="s">
        <v>205</v>
      </c>
      <c r="C92" s="2" t="s">
        <v>164</v>
      </c>
      <c r="D92" s="7">
        <v>19</v>
      </c>
      <c r="E92" s="51">
        <v>0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61</v>
      </c>
      <c r="B93" s="14" t="s">
        <v>218</v>
      </c>
      <c r="C93" s="2" t="s">
        <v>164</v>
      </c>
      <c r="D93" s="7">
        <v>19</v>
      </c>
      <c r="E93" s="51">
        <v>3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62</v>
      </c>
      <c r="B94" s="14" t="s">
        <v>219</v>
      </c>
      <c r="C94" s="2" t="s">
        <v>164</v>
      </c>
      <c r="D94" s="7">
        <v>22</v>
      </c>
      <c r="E94" s="51">
        <v>26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99</v>
      </c>
      <c r="B95" s="14" t="s">
        <v>206</v>
      </c>
      <c r="C95" s="2" t="s">
        <v>164</v>
      </c>
      <c r="D95" s="7">
        <v>31</v>
      </c>
      <c r="E95" s="51">
        <v>26</v>
      </c>
      <c r="F95" s="7"/>
      <c r="G95" s="51"/>
      <c r="H95" s="7"/>
      <c r="I95" s="51"/>
      <c r="J95" s="2" t="s">
        <v>33</v>
      </c>
      <c r="K95" s="13"/>
    </row>
    <row r="96" spans="1:11" s="335" customFormat="1" x14ac:dyDescent="0.25">
      <c r="A96" s="333" t="s">
        <v>70</v>
      </c>
      <c r="B96" s="342"/>
      <c r="D96" s="336"/>
      <c r="E96" s="337"/>
      <c r="F96" s="336"/>
      <c r="G96" s="337"/>
      <c r="H96" s="336"/>
      <c r="I96" s="337"/>
      <c r="K96" s="338"/>
    </row>
    <row r="97" spans="1:11" s="2" customFormat="1" ht="30" x14ac:dyDescent="0.25">
      <c r="A97" s="13" t="s">
        <v>65</v>
      </c>
      <c r="B97" s="14" t="s">
        <v>163</v>
      </c>
      <c r="C97" s="2" t="s">
        <v>164</v>
      </c>
      <c r="D97" s="7"/>
      <c r="E97" s="51"/>
      <c r="F97" s="7"/>
      <c r="G97" s="51"/>
      <c r="H97" s="7">
        <v>188.2</v>
      </c>
      <c r="I97" s="51">
        <v>193</v>
      </c>
      <c r="K97" s="13"/>
    </row>
    <row r="98" spans="1:11" s="2" customFormat="1" x14ac:dyDescent="0.25">
      <c r="A98" s="13" t="s">
        <v>37</v>
      </c>
      <c r="B98" s="14" t="s">
        <v>190</v>
      </c>
      <c r="C98" s="2" t="s">
        <v>164</v>
      </c>
      <c r="D98" s="7"/>
      <c r="E98" s="51"/>
      <c r="F98" s="7"/>
      <c r="G98" s="51"/>
      <c r="H98" s="7">
        <v>109.94</v>
      </c>
      <c r="I98" s="51">
        <v>125</v>
      </c>
      <c r="K98" s="13"/>
    </row>
    <row r="99" spans="1:11" s="2" customFormat="1" ht="30" x14ac:dyDescent="0.25">
      <c r="A99" s="13" t="s">
        <v>71</v>
      </c>
      <c r="B99" s="14" t="s">
        <v>188</v>
      </c>
      <c r="C99" s="2" t="s">
        <v>164</v>
      </c>
      <c r="D99" s="7"/>
      <c r="E99" s="51"/>
      <c r="F99" s="7"/>
      <c r="G99" s="51"/>
      <c r="H99" s="7">
        <v>71.73</v>
      </c>
      <c r="I99" s="51">
        <v>67</v>
      </c>
      <c r="K99" s="13"/>
    </row>
    <row r="100" spans="1:11" s="2" customFormat="1" ht="30" x14ac:dyDescent="0.25">
      <c r="A100" s="13" t="s">
        <v>72</v>
      </c>
      <c r="B100" s="14" t="s">
        <v>187</v>
      </c>
      <c r="C100" s="2" t="s">
        <v>164</v>
      </c>
      <c r="D100" s="7"/>
      <c r="E100" s="51"/>
      <c r="F100" s="7"/>
      <c r="G100" s="51"/>
      <c r="H100" s="7">
        <v>43.48</v>
      </c>
      <c r="I100" s="51">
        <v>1</v>
      </c>
      <c r="K100" s="13"/>
    </row>
    <row r="101" spans="1:11" s="2" customFormat="1" ht="30" x14ac:dyDescent="0.25">
      <c r="A101" s="13" t="s">
        <v>73</v>
      </c>
      <c r="B101" s="14" t="s">
        <v>171</v>
      </c>
      <c r="C101" s="2" t="s">
        <v>164</v>
      </c>
      <c r="D101" s="7"/>
      <c r="E101" s="51"/>
      <c r="F101" s="7"/>
      <c r="G101" s="51"/>
      <c r="H101" s="7">
        <v>85.23</v>
      </c>
      <c r="I101" s="51">
        <v>95</v>
      </c>
      <c r="K101" s="13"/>
    </row>
    <row r="102" spans="1:11" s="2" customFormat="1" ht="30" x14ac:dyDescent="0.25">
      <c r="A102" s="13" t="s">
        <v>74</v>
      </c>
      <c r="B102" s="14" t="s">
        <v>170</v>
      </c>
      <c r="C102" s="2" t="s">
        <v>164</v>
      </c>
      <c r="D102" s="7"/>
      <c r="E102" s="51"/>
      <c r="F102" s="7"/>
      <c r="G102" s="51"/>
      <c r="H102" s="7">
        <v>56.3</v>
      </c>
      <c r="I102" s="51">
        <v>44</v>
      </c>
      <c r="K102" s="13"/>
    </row>
    <row r="103" spans="1:11" s="2" customFormat="1" ht="30" x14ac:dyDescent="0.25">
      <c r="A103" s="13" t="s">
        <v>75</v>
      </c>
      <c r="B103" s="14" t="s">
        <v>189</v>
      </c>
      <c r="C103" s="2" t="s">
        <v>164</v>
      </c>
      <c r="D103" s="7"/>
      <c r="E103" s="51"/>
      <c r="F103" s="7"/>
      <c r="G103" s="51"/>
      <c r="H103" s="7">
        <v>236.65</v>
      </c>
      <c r="I103" s="51">
        <v>38</v>
      </c>
      <c r="K103" s="13"/>
    </row>
    <row r="104" spans="1:11" s="2" customFormat="1" ht="30" x14ac:dyDescent="0.25">
      <c r="A104" s="13" t="s">
        <v>76</v>
      </c>
      <c r="B104" s="14" t="s">
        <v>169</v>
      </c>
      <c r="C104" s="2" t="s">
        <v>164</v>
      </c>
      <c r="D104" s="7"/>
      <c r="E104" s="51"/>
      <c r="F104" s="7"/>
      <c r="G104" s="51"/>
      <c r="H104" s="7">
        <v>28.16</v>
      </c>
      <c r="I104" s="51">
        <v>0</v>
      </c>
      <c r="K104" s="13"/>
    </row>
    <row r="105" spans="1:11" s="2" customFormat="1" ht="30" x14ac:dyDescent="0.25">
      <c r="A105" s="13" t="s">
        <v>77</v>
      </c>
      <c r="B105" s="14" t="s">
        <v>168</v>
      </c>
      <c r="C105" s="2" t="s">
        <v>164</v>
      </c>
      <c r="D105" s="7"/>
      <c r="E105" s="51"/>
      <c r="F105" s="7"/>
      <c r="G105" s="51"/>
      <c r="H105" s="7">
        <v>90.35</v>
      </c>
      <c r="I105" s="51">
        <v>130</v>
      </c>
      <c r="K105" s="13"/>
    </row>
    <row r="106" spans="1:11" s="2" customFormat="1" ht="30" x14ac:dyDescent="0.25">
      <c r="A106" s="13" t="s">
        <v>78</v>
      </c>
      <c r="B106" s="14" t="s">
        <v>197</v>
      </c>
      <c r="C106" s="2" t="s">
        <v>164</v>
      </c>
      <c r="D106" s="7"/>
      <c r="E106" s="51"/>
      <c r="F106" s="7"/>
      <c r="G106" s="51"/>
      <c r="H106" s="7">
        <v>83.85</v>
      </c>
      <c r="I106" s="51">
        <v>43</v>
      </c>
      <c r="K106" s="13"/>
    </row>
    <row r="107" spans="1:11" s="2" customFormat="1" ht="30" x14ac:dyDescent="0.25">
      <c r="A107" s="13" t="s">
        <v>79</v>
      </c>
      <c r="B107" s="14" t="s">
        <v>167</v>
      </c>
      <c r="C107" s="2" t="s">
        <v>164</v>
      </c>
      <c r="D107" s="7"/>
      <c r="E107" s="51"/>
      <c r="F107" s="7"/>
      <c r="G107" s="51"/>
      <c r="H107" s="7">
        <v>85.13</v>
      </c>
      <c r="I107" s="51">
        <v>98</v>
      </c>
      <c r="K107" s="13"/>
    </row>
    <row r="108" spans="1:11" s="2" customFormat="1" ht="45" x14ac:dyDescent="0.25">
      <c r="A108" s="13" t="s">
        <v>80</v>
      </c>
      <c r="B108" s="14" t="s">
        <v>177</v>
      </c>
      <c r="C108" s="2" t="s">
        <v>164</v>
      </c>
      <c r="D108" s="7"/>
      <c r="E108" s="51"/>
      <c r="F108" s="7"/>
      <c r="G108" s="51"/>
      <c r="H108" s="7">
        <v>28.16</v>
      </c>
      <c r="I108" s="51">
        <v>0</v>
      </c>
      <c r="K108" s="13" t="s">
        <v>280</v>
      </c>
    </row>
    <row r="109" spans="1:11" s="2" customFormat="1" ht="30" x14ac:dyDescent="0.25">
      <c r="A109" s="13" t="s">
        <v>81</v>
      </c>
      <c r="B109" s="14" t="s">
        <v>180</v>
      </c>
      <c r="C109" s="2" t="s">
        <v>164</v>
      </c>
      <c r="D109" s="7"/>
      <c r="E109" s="51"/>
      <c r="F109" s="7"/>
      <c r="G109" s="51"/>
      <c r="H109" s="7">
        <v>28.16</v>
      </c>
      <c r="I109" s="51">
        <v>0</v>
      </c>
      <c r="K109" s="13"/>
    </row>
    <row r="110" spans="1:11" s="2" customFormat="1" ht="30" x14ac:dyDescent="0.25">
      <c r="A110" s="13" t="s">
        <v>82</v>
      </c>
      <c r="B110" s="14" t="s">
        <v>179</v>
      </c>
      <c r="C110" s="2" t="s">
        <v>164</v>
      </c>
      <c r="D110" s="7"/>
      <c r="E110" s="51"/>
      <c r="F110" s="7"/>
      <c r="G110" s="51"/>
      <c r="H110" s="7">
        <v>43.48</v>
      </c>
      <c r="I110" s="51">
        <v>2</v>
      </c>
      <c r="K110" s="13"/>
    </row>
    <row r="111" spans="1:11" s="2" customFormat="1" ht="30" x14ac:dyDescent="0.25">
      <c r="A111" s="13" t="s">
        <v>83</v>
      </c>
      <c r="B111" s="14" t="s">
        <v>178</v>
      </c>
      <c r="C111" s="2" t="s">
        <v>164</v>
      </c>
      <c r="D111" s="7"/>
      <c r="E111" s="51"/>
      <c r="F111" s="7"/>
      <c r="G111" s="51"/>
      <c r="H111" s="7">
        <v>55.84</v>
      </c>
      <c r="I111" s="51">
        <v>30</v>
      </c>
      <c r="K111" s="13"/>
    </row>
    <row r="112" spans="1:11" s="2" customFormat="1" ht="30" x14ac:dyDescent="0.25">
      <c r="A112" s="13" t="s">
        <v>84</v>
      </c>
      <c r="B112" s="14" t="s">
        <v>175</v>
      </c>
      <c r="C112" s="2" t="s">
        <v>164</v>
      </c>
      <c r="D112" s="7"/>
      <c r="E112" s="51"/>
      <c r="F112" s="7"/>
      <c r="G112" s="51"/>
      <c r="H112" s="7">
        <v>29.23</v>
      </c>
      <c r="I112" s="51">
        <v>22</v>
      </c>
      <c r="K112" s="13"/>
    </row>
    <row r="113" spans="1:11" s="2" customFormat="1" ht="30" x14ac:dyDescent="0.25">
      <c r="A113" s="13" t="s">
        <v>85</v>
      </c>
      <c r="B113" s="14" t="s">
        <v>184</v>
      </c>
      <c r="C113" s="2" t="s">
        <v>164</v>
      </c>
      <c r="D113" s="7"/>
      <c r="E113" s="51"/>
      <c r="F113" s="7"/>
      <c r="G113" s="51"/>
      <c r="H113" s="7">
        <v>28.16</v>
      </c>
      <c r="I113" s="51">
        <v>0</v>
      </c>
      <c r="K113" s="13"/>
    </row>
    <row r="114" spans="1:11" s="2" customFormat="1" ht="30" x14ac:dyDescent="0.25">
      <c r="A114" s="13" t="s">
        <v>86</v>
      </c>
      <c r="B114" s="14" t="s">
        <v>185</v>
      </c>
      <c r="C114" s="2" t="s">
        <v>164</v>
      </c>
      <c r="D114" s="7"/>
      <c r="E114" s="51"/>
      <c r="F114" s="7"/>
      <c r="G114" s="51"/>
      <c r="H114" s="7">
        <v>29.23</v>
      </c>
      <c r="I114" s="51">
        <v>22</v>
      </c>
      <c r="K114" s="13"/>
    </row>
    <row r="115" spans="1:11" s="2" customFormat="1" ht="30" x14ac:dyDescent="0.25">
      <c r="A115" s="13" t="s">
        <v>87</v>
      </c>
      <c r="B115" s="14" t="s">
        <v>181</v>
      </c>
      <c r="C115" s="2" t="s">
        <v>164</v>
      </c>
      <c r="D115" s="7"/>
      <c r="E115" s="51"/>
      <c r="F115" s="7"/>
      <c r="G115" s="51"/>
      <c r="H115" s="7">
        <v>28.16</v>
      </c>
      <c r="I115" s="51">
        <v>0</v>
      </c>
      <c r="K115" s="13"/>
    </row>
    <row r="116" spans="1:11" s="2" customFormat="1" ht="30" x14ac:dyDescent="0.25">
      <c r="A116" s="13" t="s">
        <v>88</v>
      </c>
      <c r="B116" s="14" t="s">
        <v>172</v>
      </c>
      <c r="C116" s="2" t="s">
        <v>164</v>
      </c>
      <c r="D116" s="7"/>
      <c r="E116" s="51"/>
      <c r="F116" s="7"/>
      <c r="G116" s="51"/>
      <c r="H116" s="7">
        <v>28.16</v>
      </c>
      <c r="I116" s="51">
        <v>0</v>
      </c>
      <c r="K116" s="13"/>
    </row>
    <row r="117" spans="1:11" s="2" customFormat="1" ht="30" x14ac:dyDescent="0.25">
      <c r="A117" s="13" t="s">
        <v>608</v>
      </c>
      <c r="B117" s="14" t="s">
        <v>173</v>
      </c>
      <c r="C117" s="2" t="s">
        <v>164</v>
      </c>
      <c r="D117" s="7"/>
      <c r="E117" s="51"/>
      <c r="F117" s="7"/>
      <c r="G117" s="51"/>
      <c r="H117" s="7">
        <v>43.97</v>
      </c>
      <c r="I117" s="51">
        <v>4</v>
      </c>
      <c r="K117" s="13"/>
    </row>
    <row r="118" spans="1:11" s="2" customFormat="1" ht="30" x14ac:dyDescent="0.25">
      <c r="A118" s="13" t="s">
        <v>90</v>
      </c>
      <c r="B118" s="14" t="s">
        <v>174</v>
      </c>
      <c r="C118" s="2" t="s">
        <v>164</v>
      </c>
      <c r="D118" s="7"/>
      <c r="E118" s="51"/>
      <c r="F118" s="7"/>
      <c r="G118" s="51"/>
      <c r="H118" s="7">
        <v>31.9</v>
      </c>
      <c r="I118" s="51">
        <v>27</v>
      </c>
      <c r="K118" s="13"/>
    </row>
    <row r="119" spans="1:11" s="2" customFormat="1" ht="33" customHeight="1" x14ac:dyDescent="0.25">
      <c r="A119" s="13" t="s">
        <v>91</v>
      </c>
      <c r="B119" s="14" t="s">
        <v>182</v>
      </c>
      <c r="C119" s="2" t="s">
        <v>164</v>
      </c>
      <c r="D119" s="7"/>
      <c r="E119" s="51"/>
      <c r="F119" s="7"/>
      <c r="G119" s="51"/>
      <c r="H119" s="7">
        <v>43.48</v>
      </c>
      <c r="I119" s="51">
        <v>17</v>
      </c>
      <c r="K119" s="13"/>
    </row>
    <row r="120" spans="1:11" s="2" customFormat="1" ht="30" x14ac:dyDescent="0.25">
      <c r="A120" s="13" t="s">
        <v>92</v>
      </c>
      <c r="B120" s="14" t="s">
        <v>186</v>
      </c>
      <c r="C120" s="2" t="s">
        <v>164</v>
      </c>
      <c r="D120" s="7"/>
      <c r="E120" s="51"/>
      <c r="F120" s="7"/>
      <c r="G120" s="51"/>
      <c r="H120" s="7">
        <v>28.16</v>
      </c>
      <c r="I120" s="51">
        <v>0</v>
      </c>
      <c r="K120" s="13"/>
    </row>
    <row r="121" spans="1:11" s="2" customFormat="1" ht="30" x14ac:dyDescent="0.25">
      <c r="A121" s="13" t="s">
        <v>93</v>
      </c>
      <c r="B121" s="14" t="s">
        <v>183</v>
      </c>
      <c r="C121" s="2" t="s">
        <v>164</v>
      </c>
      <c r="D121" s="7"/>
      <c r="E121" s="51"/>
      <c r="F121" s="7"/>
      <c r="G121" s="51"/>
      <c r="H121" s="7">
        <v>28.16</v>
      </c>
      <c r="I121" s="51">
        <v>1</v>
      </c>
      <c r="K121" s="13"/>
    </row>
    <row r="122" spans="1:11" s="2" customFormat="1" ht="30" x14ac:dyDescent="0.25">
      <c r="A122" s="13" t="s">
        <v>103</v>
      </c>
      <c r="B122" s="14" t="s">
        <v>194</v>
      </c>
      <c r="C122" s="2" t="s">
        <v>164</v>
      </c>
      <c r="D122" s="7"/>
      <c r="E122" s="51"/>
      <c r="F122" s="7"/>
      <c r="G122" s="51"/>
      <c r="H122" s="7">
        <v>43.97</v>
      </c>
      <c r="I122" s="51">
        <v>3</v>
      </c>
      <c r="K122" s="13"/>
    </row>
    <row r="123" spans="1:11" s="2" customFormat="1" ht="30" x14ac:dyDescent="0.25">
      <c r="A123" s="13" t="s">
        <v>104</v>
      </c>
      <c r="B123" s="14" t="s">
        <v>195</v>
      </c>
      <c r="C123" s="2" t="s">
        <v>164</v>
      </c>
      <c r="D123" s="7"/>
      <c r="E123" s="51"/>
      <c r="F123" s="7"/>
      <c r="G123" s="51"/>
      <c r="H123" s="7">
        <v>44.01</v>
      </c>
      <c r="I123" s="51">
        <v>21</v>
      </c>
      <c r="K123" s="13"/>
    </row>
    <row r="124" spans="1:11" s="2" customFormat="1" ht="30" x14ac:dyDescent="0.25">
      <c r="A124" s="13" t="s">
        <v>105</v>
      </c>
      <c r="B124" s="2" t="s">
        <v>196</v>
      </c>
      <c r="C124" s="2" t="s">
        <v>164</v>
      </c>
      <c r="E124" s="51"/>
      <c r="G124" s="51"/>
      <c r="H124" s="7">
        <v>42.24</v>
      </c>
      <c r="I124" s="51">
        <v>0</v>
      </c>
      <c r="K124" s="13"/>
    </row>
    <row r="125" spans="1:11" s="2" customFormat="1" ht="30" x14ac:dyDescent="0.25">
      <c r="A125" s="13" t="s">
        <v>68</v>
      </c>
      <c r="B125" s="14" t="s">
        <v>166</v>
      </c>
      <c r="C125" s="2" t="s">
        <v>164</v>
      </c>
      <c r="D125" s="7"/>
      <c r="E125" s="51"/>
      <c r="F125" s="7"/>
      <c r="G125" s="51"/>
      <c r="H125" s="7">
        <v>103.48</v>
      </c>
      <c r="I125" s="51">
        <v>34</v>
      </c>
      <c r="K125" s="13"/>
    </row>
    <row r="126" spans="1:11" s="2" customFormat="1" ht="30" x14ac:dyDescent="0.25">
      <c r="A126" s="13" t="s">
        <v>46</v>
      </c>
      <c r="B126" s="14" t="s">
        <v>193</v>
      </c>
      <c r="C126" s="2" t="s">
        <v>164</v>
      </c>
      <c r="D126" s="7"/>
      <c r="E126" s="51"/>
      <c r="F126" s="7"/>
      <c r="G126" s="51"/>
      <c r="H126" s="7">
        <v>43.49</v>
      </c>
      <c r="I126" s="51">
        <v>0</v>
      </c>
      <c r="K126" s="13"/>
    </row>
    <row r="127" spans="1:11" s="2" customFormat="1" ht="30" x14ac:dyDescent="0.25">
      <c r="A127" s="13" t="s">
        <v>17</v>
      </c>
      <c r="B127" s="14" t="s">
        <v>192</v>
      </c>
      <c r="C127" s="2" t="s">
        <v>164</v>
      </c>
      <c r="D127" s="7"/>
      <c r="E127" s="51"/>
      <c r="F127" s="7"/>
      <c r="G127" s="51"/>
      <c r="H127" s="7">
        <v>90.19</v>
      </c>
      <c r="I127" s="51">
        <v>0</v>
      </c>
      <c r="K127" s="13"/>
    </row>
    <row r="128" spans="1:11" s="2" customFormat="1" ht="30" x14ac:dyDescent="0.25">
      <c r="A128" s="13" t="s">
        <v>47</v>
      </c>
      <c r="B128" s="14" t="s">
        <v>139</v>
      </c>
      <c r="C128" s="2" t="s">
        <v>162</v>
      </c>
      <c r="D128" s="7"/>
      <c r="E128" s="51"/>
      <c r="F128" s="7"/>
      <c r="G128" s="51"/>
      <c r="H128" s="7">
        <v>63.43</v>
      </c>
      <c r="I128" s="51">
        <v>56</v>
      </c>
      <c r="K128" s="13"/>
    </row>
    <row r="129" spans="1:11" s="2" customFormat="1" ht="30" x14ac:dyDescent="0.25">
      <c r="A129" s="13" t="s">
        <v>64</v>
      </c>
      <c r="B129" s="14" t="s">
        <v>191</v>
      </c>
      <c r="C129" s="2" t="s">
        <v>164</v>
      </c>
      <c r="D129" s="7"/>
      <c r="E129" s="51"/>
      <c r="F129" s="7"/>
      <c r="G129" s="51"/>
      <c r="H129" s="7">
        <v>108.38</v>
      </c>
      <c r="I129" s="51">
        <v>120</v>
      </c>
      <c r="K129" s="13"/>
    </row>
    <row r="130" spans="1:11" s="2" customFormat="1" ht="30" x14ac:dyDescent="0.25">
      <c r="A130" s="13" t="s">
        <v>130</v>
      </c>
      <c r="B130" s="14" t="s">
        <v>131</v>
      </c>
      <c r="C130" s="2" t="s">
        <v>162</v>
      </c>
      <c r="D130" s="7"/>
      <c r="E130" s="51"/>
      <c r="F130" s="7"/>
      <c r="G130" s="51"/>
      <c r="H130" s="7">
        <v>28.16</v>
      </c>
      <c r="I130" s="51">
        <v>1</v>
      </c>
      <c r="K130" s="13"/>
    </row>
    <row r="131" spans="1:11" s="2" customFormat="1" ht="30" x14ac:dyDescent="0.25">
      <c r="A131" s="13" t="s">
        <v>134</v>
      </c>
      <c r="B131" s="14" t="s">
        <v>133</v>
      </c>
      <c r="C131" s="2" t="s">
        <v>162</v>
      </c>
      <c r="D131" s="7"/>
      <c r="E131" s="51"/>
      <c r="F131" s="7"/>
      <c r="G131" s="51"/>
      <c r="H131" s="7">
        <v>48.82</v>
      </c>
      <c r="I131" s="51">
        <v>30</v>
      </c>
      <c r="K131" s="13"/>
    </row>
    <row r="132" spans="1:11" s="2" customFormat="1" x14ac:dyDescent="0.25">
      <c r="A132" s="13" t="s">
        <v>136</v>
      </c>
      <c r="B132" s="14" t="s">
        <v>135</v>
      </c>
      <c r="C132" s="2" t="s">
        <v>162</v>
      </c>
      <c r="D132" s="7"/>
      <c r="E132" s="51"/>
      <c r="F132" s="7"/>
      <c r="G132" s="51"/>
      <c r="H132" s="7">
        <v>1749.92</v>
      </c>
      <c r="I132" s="51">
        <v>1882</v>
      </c>
      <c r="K132" s="13"/>
    </row>
    <row r="133" spans="1:11" s="2" customFormat="1" x14ac:dyDescent="0.25">
      <c r="A133" s="13" t="s">
        <v>137</v>
      </c>
      <c r="B133" s="14" t="s">
        <v>138</v>
      </c>
      <c r="C133" s="2" t="s">
        <v>162</v>
      </c>
      <c r="D133" s="7"/>
      <c r="E133" s="51"/>
      <c r="F133" s="7"/>
      <c r="G133" s="51"/>
      <c r="H133" s="7">
        <v>28.16</v>
      </c>
      <c r="I133" s="51">
        <v>0</v>
      </c>
      <c r="K133" s="13"/>
    </row>
    <row r="134" spans="1:11" s="2" customFormat="1" ht="30" x14ac:dyDescent="0.25">
      <c r="A134" s="13" t="s">
        <v>140</v>
      </c>
      <c r="B134" s="14" t="s">
        <v>141</v>
      </c>
      <c r="C134" s="2" t="s">
        <v>162</v>
      </c>
      <c r="D134" s="7"/>
      <c r="E134" s="51"/>
      <c r="F134" s="7"/>
      <c r="G134" s="51"/>
      <c r="H134" s="7">
        <v>43.48</v>
      </c>
      <c r="I134" s="51">
        <v>0</v>
      </c>
      <c r="K134" s="13"/>
    </row>
    <row r="135" spans="1:11" s="2" customFormat="1" x14ac:dyDescent="0.25">
      <c r="A135" s="13" t="s">
        <v>142</v>
      </c>
      <c r="B135" s="14" t="s">
        <v>143</v>
      </c>
      <c r="C135" s="2" t="s">
        <v>162</v>
      </c>
      <c r="D135" s="7"/>
      <c r="E135" s="51"/>
      <c r="F135" s="7"/>
      <c r="G135" s="51"/>
      <c r="H135" s="7">
        <v>38.840000000000003</v>
      </c>
      <c r="I135" s="51">
        <v>40</v>
      </c>
      <c r="K135" s="13"/>
    </row>
    <row r="136" spans="1:11" s="2" customFormat="1" x14ac:dyDescent="0.25">
      <c r="A136" s="13" t="s">
        <v>144</v>
      </c>
      <c r="B136" s="14" t="s">
        <v>145</v>
      </c>
      <c r="C136" s="2" t="s">
        <v>162</v>
      </c>
      <c r="D136" s="7"/>
      <c r="E136" s="51"/>
      <c r="F136" s="7"/>
      <c r="G136" s="51"/>
      <c r="H136" s="7">
        <v>296.67</v>
      </c>
      <c r="I136" s="51">
        <v>360</v>
      </c>
      <c r="K136" s="13"/>
    </row>
    <row r="137" spans="1:11" s="2" customFormat="1" x14ac:dyDescent="0.25">
      <c r="A137" s="13" t="s">
        <v>146</v>
      </c>
      <c r="B137" s="14" t="s">
        <v>147</v>
      </c>
      <c r="C137" s="2" t="s">
        <v>162</v>
      </c>
      <c r="D137" s="7"/>
      <c r="E137" s="51"/>
      <c r="F137" s="7"/>
      <c r="G137" s="51"/>
      <c r="H137" s="7">
        <v>338.54</v>
      </c>
      <c r="I137" s="51">
        <v>484</v>
      </c>
      <c r="K137" s="13"/>
    </row>
    <row r="138" spans="1:11" s="2" customFormat="1" x14ac:dyDescent="0.25">
      <c r="A138" s="13" t="s">
        <v>176</v>
      </c>
      <c r="B138" s="14" t="s">
        <v>165</v>
      </c>
      <c r="C138" s="2" t="s">
        <v>162</v>
      </c>
      <c r="D138" s="7"/>
      <c r="E138" s="51"/>
      <c r="F138" s="7"/>
      <c r="G138" s="51"/>
      <c r="H138" s="7">
        <v>154.65</v>
      </c>
      <c r="I138" s="51">
        <v>176</v>
      </c>
      <c r="K138" s="13"/>
    </row>
    <row r="139" spans="1:11" s="335" customFormat="1" ht="30" x14ac:dyDescent="0.25">
      <c r="A139" s="333" t="s">
        <v>106</v>
      </c>
      <c r="B139" s="342"/>
      <c r="D139" s="336"/>
      <c r="E139" s="337"/>
      <c r="F139" s="336"/>
      <c r="G139" s="337"/>
      <c r="H139" s="336"/>
      <c r="I139" s="337"/>
      <c r="K139" s="338"/>
    </row>
    <row r="140" spans="1:11" s="2" customFormat="1" ht="30" x14ac:dyDescent="0.25">
      <c r="A140" s="13" t="s">
        <v>107</v>
      </c>
      <c r="B140" s="14">
        <v>67</v>
      </c>
      <c r="D140" s="7"/>
      <c r="E140" s="51"/>
      <c r="F140" s="7"/>
      <c r="G140" s="51"/>
      <c r="H140" s="7">
        <v>52.5</v>
      </c>
      <c r="I140" s="51">
        <v>563</v>
      </c>
      <c r="K140" s="13"/>
    </row>
    <row r="141" spans="1:11" s="2" customFormat="1" ht="30" x14ac:dyDescent="0.25">
      <c r="A141" s="13" t="s">
        <v>109</v>
      </c>
      <c r="B141" s="14">
        <v>95</v>
      </c>
      <c r="D141" s="7"/>
      <c r="E141" s="51"/>
      <c r="F141" s="7"/>
      <c r="G141" s="51"/>
      <c r="H141" s="7">
        <v>62.5</v>
      </c>
      <c r="I141" s="51">
        <v>500</v>
      </c>
      <c r="K141" s="13"/>
    </row>
    <row r="142" spans="1:11" s="335" customFormat="1" x14ac:dyDescent="0.25">
      <c r="A142" s="339" t="s">
        <v>155</v>
      </c>
      <c r="B142" s="341"/>
      <c r="D142" s="336"/>
      <c r="E142" s="337"/>
      <c r="F142" s="336"/>
      <c r="G142" s="337"/>
      <c r="H142" s="336"/>
      <c r="I142" s="337"/>
      <c r="K142" s="338"/>
    </row>
    <row r="143" spans="1:11" s="2" customFormat="1" ht="30" x14ac:dyDescent="0.25">
      <c r="A143" s="13" t="s">
        <v>156</v>
      </c>
      <c r="B143" s="24">
        <v>61</v>
      </c>
      <c r="C143" s="2" t="s">
        <v>158</v>
      </c>
      <c r="D143" s="7"/>
      <c r="E143" s="51"/>
      <c r="F143" s="7"/>
      <c r="G143" s="51"/>
      <c r="H143" s="7">
        <v>30.15</v>
      </c>
      <c r="I143" s="51">
        <v>380</v>
      </c>
      <c r="K143" s="13"/>
    </row>
    <row r="144" spans="1:11" s="2" customFormat="1" x14ac:dyDescent="0.25">
      <c r="B144" s="24"/>
      <c r="C144" s="5" t="s">
        <v>279</v>
      </c>
      <c r="D144" s="7">
        <f t="shared" ref="D144:I144" si="0">SUM(D2:D143)</f>
        <v>22916.04</v>
      </c>
      <c r="E144" s="52">
        <f t="shared" si="0"/>
        <v>217692</v>
      </c>
      <c r="F144" s="7">
        <f t="shared" si="0"/>
        <v>3846</v>
      </c>
      <c r="G144" s="52">
        <f t="shared" si="0"/>
        <v>7638</v>
      </c>
      <c r="H144" s="7">
        <f t="shared" si="0"/>
        <v>4980.8500000000004</v>
      </c>
      <c r="I144" s="52">
        <f t="shared" si="0"/>
        <v>5909</v>
      </c>
      <c r="K144" s="13"/>
    </row>
    <row r="145" spans="2:11" s="2" customFormat="1" x14ac:dyDescent="0.25">
      <c r="B145" s="24"/>
      <c r="D145" s="7"/>
      <c r="E145" s="51" t="s">
        <v>33</v>
      </c>
      <c r="G145" s="7" t="s">
        <v>10</v>
      </c>
      <c r="H145" s="7"/>
      <c r="I145" s="51" t="s">
        <v>281</v>
      </c>
      <c r="K145" s="13"/>
    </row>
    <row r="146" spans="2:11" s="2" customFormat="1" x14ac:dyDescent="0.25">
      <c r="B146" s="24"/>
      <c r="D146" s="7"/>
      <c r="E146" s="51"/>
      <c r="F146" s="7"/>
      <c r="G146" s="51"/>
      <c r="H146" s="7"/>
      <c r="I146" s="51"/>
      <c r="K146" s="13"/>
    </row>
    <row r="147" spans="2:11" s="2" customFormat="1" x14ac:dyDescent="0.25">
      <c r="B147" s="24"/>
      <c r="D147" s="7"/>
      <c r="E147" s="51"/>
      <c r="F147" s="7"/>
      <c r="G147" s="51"/>
      <c r="H147" s="7"/>
      <c r="I147" s="51"/>
      <c r="K147" s="13"/>
    </row>
  </sheetData>
  <sortState ref="A68:K91">
    <sortCondition ref="B68:B91"/>
  </sortState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20"/>
  <sheetViews>
    <sheetView workbookViewId="0">
      <selection activeCell="F13" sqref="F1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217692</v>
      </c>
      <c r="D13" s="34"/>
      <c r="E13" s="35" t="s">
        <v>33</v>
      </c>
      <c r="F13" s="34"/>
      <c r="G13" s="42">
        <v>22916.04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35">
        <v>7638</v>
      </c>
      <c r="D15" s="34"/>
      <c r="E15" s="35" t="s">
        <v>10</v>
      </c>
      <c r="F15" s="34"/>
      <c r="G15" s="42">
        <v>3846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5909</v>
      </c>
      <c r="D17" s="34"/>
      <c r="E17" s="35" t="s">
        <v>278</v>
      </c>
      <c r="F17" s="34"/>
      <c r="G17" s="42">
        <v>4980.8500000000004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5:G5"/>
    <mergeCell ref="A3:G3"/>
    <mergeCell ref="A1:G1"/>
  </mergeCells>
  <pageMargins left="0.7" right="0.7" top="0.75" bottom="0.75" header="0.3" footer="0.3"/>
  <pageSetup orientation="landscape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K144"/>
  <sheetViews>
    <sheetView workbookViewId="0">
      <pane ySplit="1" topLeftCell="A47" activePane="bottomLeft" state="frozen"/>
      <selection pane="bottomLeft" activeCell="A63" sqref="A63"/>
    </sheetView>
  </sheetViews>
  <sheetFormatPr defaultRowHeight="15" x14ac:dyDescent="0.25"/>
  <cols>
    <col min="1" max="1" width="19.7109375" customWidth="1"/>
    <col min="2" max="2" width="29.85546875" style="12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10.5703125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9.140625" style="1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s="2" customFormat="1" x14ac:dyDescent="0.25">
      <c r="A2" s="5" t="s">
        <v>6</v>
      </c>
      <c r="B2" s="23"/>
      <c r="D2" s="7"/>
      <c r="E2" s="51"/>
      <c r="F2" s="7"/>
      <c r="G2" s="51"/>
      <c r="H2" s="7"/>
      <c r="I2" s="51"/>
      <c r="K2" s="13"/>
    </row>
    <row r="3" spans="1:11" s="2" customFormat="1" ht="30" x14ac:dyDescent="0.25">
      <c r="A3" s="13" t="s">
        <v>7</v>
      </c>
      <c r="B3" s="14">
        <v>3038136345</v>
      </c>
      <c r="C3" s="2" t="s">
        <v>237</v>
      </c>
      <c r="D3" s="7"/>
      <c r="E3" s="51"/>
      <c r="F3" s="7">
        <v>743.99</v>
      </c>
      <c r="G3" s="51">
        <v>1432</v>
      </c>
      <c r="H3" s="7"/>
      <c r="I3" s="51"/>
      <c r="J3" s="2" t="s">
        <v>10</v>
      </c>
      <c r="K3" s="13" t="s">
        <v>15</v>
      </c>
    </row>
    <row r="4" spans="1:11" s="2" customFormat="1" ht="30" x14ac:dyDescent="0.25">
      <c r="A4" s="13" t="s">
        <v>13</v>
      </c>
      <c r="B4" s="14">
        <v>3026210376</v>
      </c>
      <c r="C4" s="2" t="s">
        <v>233</v>
      </c>
      <c r="D4" s="7"/>
      <c r="E4" s="51"/>
      <c r="F4" s="7">
        <v>63.43</v>
      </c>
      <c r="G4" s="51">
        <v>45</v>
      </c>
      <c r="H4" s="7"/>
      <c r="I4" s="51"/>
      <c r="J4" s="2" t="s">
        <v>10</v>
      </c>
      <c r="K4" s="13" t="s">
        <v>15</v>
      </c>
    </row>
    <row r="5" spans="1:11" s="2" customFormat="1" ht="30" x14ac:dyDescent="0.25">
      <c r="A5" s="13" t="s">
        <v>36</v>
      </c>
      <c r="B5" s="14">
        <v>3039781986</v>
      </c>
      <c r="C5" s="2" t="s">
        <v>235</v>
      </c>
      <c r="D5" s="7"/>
      <c r="E5" s="51"/>
      <c r="F5" s="7">
        <v>41.79</v>
      </c>
      <c r="G5" s="51">
        <v>0</v>
      </c>
      <c r="H5" s="7"/>
      <c r="I5" s="51"/>
      <c r="J5" s="2" t="s">
        <v>10</v>
      </c>
      <c r="K5" s="13" t="s">
        <v>15</v>
      </c>
    </row>
    <row r="6" spans="1:11" s="2" customFormat="1" ht="30" x14ac:dyDescent="0.25">
      <c r="A6" s="13" t="s">
        <v>34</v>
      </c>
      <c r="B6" s="14">
        <v>3039472917</v>
      </c>
      <c r="C6" s="2" t="s">
        <v>239</v>
      </c>
      <c r="D6" s="7"/>
      <c r="E6" s="51"/>
      <c r="F6" s="7">
        <v>52.08</v>
      </c>
      <c r="G6" s="51">
        <v>21</v>
      </c>
      <c r="H6" s="7"/>
      <c r="I6" s="51"/>
      <c r="J6" s="2" t="s">
        <v>10</v>
      </c>
      <c r="K6" s="13" t="s">
        <v>15</v>
      </c>
    </row>
    <row r="7" spans="1:11" s="2" customFormat="1" ht="30" x14ac:dyDescent="0.25">
      <c r="A7" s="13" t="s">
        <v>37</v>
      </c>
      <c r="B7" s="14">
        <v>4005211270</v>
      </c>
      <c r="C7" s="2" t="s">
        <v>238</v>
      </c>
      <c r="D7" s="7"/>
      <c r="E7" s="51"/>
      <c r="F7" s="7">
        <v>124.98</v>
      </c>
      <c r="G7" s="51">
        <v>173</v>
      </c>
      <c r="H7" s="7"/>
      <c r="I7" s="51"/>
      <c r="J7" s="2" t="s">
        <v>10</v>
      </c>
      <c r="K7" s="13" t="s">
        <v>15</v>
      </c>
    </row>
    <row r="8" spans="1:11" s="2" customFormat="1" ht="45" x14ac:dyDescent="0.25">
      <c r="A8" s="13" t="s">
        <v>41</v>
      </c>
      <c r="B8" s="14">
        <v>3044004323</v>
      </c>
      <c r="C8" s="2" t="s">
        <v>237</v>
      </c>
      <c r="D8" s="7"/>
      <c r="E8" s="51"/>
      <c r="F8" s="7">
        <v>49.64</v>
      </c>
      <c r="G8" s="51">
        <v>14</v>
      </c>
      <c r="H8" s="7"/>
      <c r="I8" s="51"/>
      <c r="J8" s="2" t="s">
        <v>10</v>
      </c>
      <c r="K8" s="13" t="s">
        <v>15</v>
      </c>
    </row>
    <row r="9" spans="1:11" s="2" customFormat="1" ht="45" x14ac:dyDescent="0.25">
      <c r="A9" s="13" t="s">
        <v>42</v>
      </c>
      <c r="B9" s="14">
        <v>3029257704</v>
      </c>
      <c r="C9" s="2" t="s">
        <v>237</v>
      </c>
      <c r="D9" s="7"/>
      <c r="E9" s="51"/>
      <c r="F9" s="7">
        <v>44.7</v>
      </c>
      <c r="G9" s="51">
        <v>3</v>
      </c>
      <c r="H9" s="7"/>
      <c r="I9" s="51"/>
      <c r="J9" s="2" t="s">
        <v>10</v>
      </c>
      <c r="K9" s="13" t="s">
        <v>15</v>
      </c>
    </row>
    <row r="10" spans="1:11" s="2" customFormat="1" ht="30" x14ac:dyDescent="0.25">
      <c r="A10" s="13" t="s">
        <v>44</v>
      </c>
      <c r="B10" s="14">
        <v>3039640691</v>
      </c>
      <c r="C10" s="2" t="s">
        <v>236</v>
      </c>
      <c r="D10" s="7"/>
      <c r="E10" s="51"/>
      <c r="F10" s="7">
        <v>60.67</v>
      </c>
      <c r="G10" s="51">
        <v>39</v>
      </c>
      <c r="H10" s="7"/>
      <c r="I10" s="51"/>
      <c r="J10" s="2" t="s">
        <v>10</v>
      </c>
      <c r="K10" s="13" t="s">
        <v>15</v>
      </c>
    </row>
    <row r="11" spans="1:11" s="2" customFormat="1" ht="30" x14ac:dyDescent="0.25">
      <c r="A11" s="13" t="s">
        <v>43</v>
      </c>
      <c r="B11" s="14">
        <v>303978225</v>
      </c>
      <c r="C11" s="2" t="s">
        <v>236</v>
      </c>
      <c r="D11" s="7"/>
      <c r="E11" s="51"/>
      <c r="F11" s="7">
        <v>69.94</v>
      </c>
      <c r="G11" s="51">
        <v>60</v>
      </c>
      <c r="H11" s="7"/>
      <c r="I11" s="51"/>
      <c r="J11" s="2" t="s">
        <v>10</v>
      </c>
      <c r="K11" s="13" t="s">
        <v>15</v>
      </c>
    </row>
    <row r="12" spans="1:11" s="2" customFormat="1" ht="45" x14ac:dyDescent="0.25">
      <c r="A12" s="13" t="s">
        <v>45</v>
      </c>
      <c r="B12" s="14">
        <v>3039618715</v>
      </c>
      <c r="C12" s="2" t="s">
        <v>237</v>
      </c>
      <c r="D12" s="7"/>
      <c r="E12" s="51"/>
      <c r="F12" s="7">
        <v>43.8</v>
      </c>
      <c r="G12" s="51">
        <v>1</v>
      </c>
      <c r="H12" s="7"/>
      <c r="I12" s="51"/>
      <c r="J12" s="2" t="s">
        <v>10</v>
      </c>
      <c r="K12" s="13" t="s">
        <v>15</v>
      </c>
    </row>
    <row r="13" spans="1:11" s="2" customFormat="1" ht="30" x14ac:dyDescent="0.25">
      <c r="A13" s="13" t="s">
        <v>46</v>
      </c>
      <c r="B13" s="14">
        <v>3023189549</v>
      </c>
      <c r="C13" s="2" t="s">
        <v>233</v>
      </c>
      <c r="D13" s="7"/>
      <c r="E13" s="51"/>
      <c r="F13" s="7">
        <v>41.79</v>
      </c>
      <c r="G13" s="51">
        <v>0</v>
      </c>
      <c r="H13" s="7"/>
      <c r="I13" s="51"/>
      <c r="J13" s="2" t="s">
        <v>10</v>
      </c>
      <c r="K13" s="13" t="s">
        <v>15</v>
      </c>
    </row>
    <row r="14" spans="1:11" s="2" customFormat="1" ht="30" x14ac:dyDescent="0.25">
      <c r="A14" s="13" t="s">
        <v>47</v>
      </c>
      <c r="B14" s="14">
        <v>3034878837</v>
      </c>
      <c r="C14" s="2" t="s">
        <v>233</v>
      </c>
      <c r="D14" s="7"/>
      <c r="E14" s="51"/>
      <c r="F14" s="7">
        <v>71.13</v>
      </c>
      <c r="G14" s="51">
        <v>61</v>
      </c>
      <c r="H14" s="7"/>
      <c r="I14" s="51"/>
      <c r="J14" s="2" t="s">
        <v>10</v>
      </c>
      <c r="K14" s="13" t="s">
        <v>15</v>
      </c>
    </row>
    <row r="15" spans="1:11" s="2" customFormat="1" ht="30" x14ac:dyDescent="0.25">
      <c r="A15" s="13" t="s">
        <v>64</v>
      </c>
      <c r="B15" s="14">
        <v>3025670416</v>
      </c>
      <c r="C15" s="2" t="s">
        <v>235</v>
      </c>
      <c r="D15" s="7"/>
      <c r="E15" s="51"/>
      <c r="F15" s="7">
        <v>44.19</v>
      </c>
      <c r="G15" s="51">
        <v>5</v>
      </c>
      <c r="H15" s="7"/>
      <c r="I15" s="51"/>
      <c r="J15" s="2" t="s">
        <v>10</v>
      </c>
      <c r="K15" s="13" t="s">
        <v>15</v>
      </c>
    </row>
    <row r="16" spans="1:11" s="2" customFormat="1" ht="30" x14ac:dyDescent="0.25">
      <c r="A16" s="13" t="s">
        <v>65</v>
      </c>
      <c r="B16" s="14">
        <v>3023110891</v>
      </c>
      <c r="C16" s="2" t="s">
        <v>233</v>
      </c>
      <c r="D16" s="7"/>
      <c r="E16" s="51"/>
      <c r="F16" s="7">
        <v>128.84</v>
      </c>
      <c r="G16" s="51">
        <v>181</v>
      </c>
      <c r="H16" s="7"/>
      <c r="I16" s="51"/>
      <c r="J16" s="2" t="s">
        <v>10</v>
      </c>
      <c r="K16" s="13" t="s">
        <v>15</v>
      </c>
    </row>
    <row r="17" spans="1:11" s="2" customFormat="1" ht="30" x14ac:dyDescent="0.25">
      <c r="A17" s="13" t="s">
        <v>69</v>
      </c>
      <c r="B17" s="14">
        <v>3022125574</v>
      </c>
      <c r="C17" s="2" t="s">
        <v>234</v>
      </c>
      <c r="D17" s="7"/>
      <c r="E17" s="51"/>
      <c r="F17" s="7">
        <v>28.33</v>
      </c>
      <c r="G17" s="51">
        <v>18</v>
      </c>
      <c r="H17" s="7"/>
      <c r="I17" s="51"/>
      <c r="J17" s="2" t="s">
        <v>10</v>
      </c>
      <c r="K17" s="13" t="s">
        <v>15</v>
      </c>
    </row>
    <row r="18" spans="1:11" s="2" customFormat="1" ht="30" x14ac:dyDescent="0.25">
      <c r="A18" s="13" t="s">
        <v>68</v>
      </c>
      <c r="B18" s="14">
        <v>3022125841</v>
      </c>
      <c r="C18" s="2" t="s">
        <v>234</v>
      </c>
      <c r="D18" s="7"/>
      <c r="E18" s="51"/>
      <c r="F18" s="7">
        <v>40.89</v>
      </c>
      <c r="G18" s="51">
        <v>0</v>
      </c>
      <c r="H18" s="7"/>
      <c r="I18" s="51"/>
      <c r="J18" s="2" t="s">
        <v>10</v>
      </c>
      <c r="K18" s="13" t="s">
        <v>15</v>
      </c>
    </row>
    <row r="19" spans="1:11" s="2" customFormat="1" x14ac:dyDescent="0.25">
      <c r="A19" s="20" t="s">
        <v>25</v>
      </c>
      <c r="B19" s="21"/>
      <c r="D19" s="7"/>
      <c r="E19" s="51"/>
      <c r="F19" s="7"/>
      <c r="G19" s="51"/>
      <c r="H19" s="7"/>
      <c r="I19" s="51"/>
      <c r="K19" s="13"/>
    </row>
    <row r="20" spans="1:11" s="2" customFormat="1" ht="30" x14ac:dyDescent="0.25">
      <c r="A20" s="13" t="s">
        <v>46</v>
      </c>
      <c r="B20" s="2">
        <v>5027654</v>
      </c>
      <c r="C20" s="2" t="s">
        <v>27</v>
      </c>
      <c r="D20" s="7">
        <v>256.37</v>
      </c>
      <c r="E20" s="51">
        <v>2482</v>
      </c>
      <c r="F20" s="7"/>
      <c r="G20" s="51"/>
      <c r="H20" s="7"/>
      <c r="I20" s="51"/>
      <c r="J20" s="2" t="s">
        <v>33</v>
      </c>
      <c r="K20" s="13"/>
    </row>
    <row r="21" spans="1:11" s="2" customFormat="1" x14ac:dyDescent="0.25">
      <c r="A21" s="13" t="s">
        <v>37</v>
      </c>
      <c r="B21" s="14">
        <v>5064854</v>
      </c>
      <c r="C21" s="2" t="s">
        <v>261</v>
      </c>
      <c r="D21" s="7">
        <v>646.54999999999995</v>
      </c>
      <c r="E21" s="51">
        <v>7440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47</v>
      </c>
      <c r="B22" s="14">
        <v>4914628</v>
      </c>
      <c r="C22" s="2" t="s">
        <v>260</v>
      </c>
      <c r="D22" s="7">
        <v>513.46</v>
      </c>
      <c r="E22" s="51">
        <v>3984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48</v>
      </c>
      <c r="B23" s="14">
        <v>5262911</v>
      </c>
      <c r="C23" s="2" t="s">
        <v>260</v>
      </c>
      <c r="D23" s="7">
        <v>16.190000000000001</v>
      </c>
      <c r="E23" s="51">
        <v>70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17</v>
      </c>
      <c r="B24" s="14">
        <v>8934894</v>
      </c>
      <c r="C24" s="2" t="s">
        <v>27</v>
      </c>
      <c r="D24" s="7">
        <v>14.6</v>
      </c>
      <c r="E24" s="51">
        <v>0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31</v>
      </c>
      <c r="B25" s="14">
        <v>5041139</v>
      </c>
      <c r="C25" s="2" t="s">
        <v>23</v>
      </c>
      <c r="D25" s="7">
        <v>25.39</v>
      </c>
      <c r="E25" s="51">
        <v>135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253</v>
      </c>
      <c r="B26" s="2">
        <v>4934809</v>
      </c>
      <c r="C26" s="2" t="s">
        <v>266</v>
      </c>
      <c r="D26" s="7">
        <v>14.6</v>
      </c>
      <c r="E26" s="51">
        <v>0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254</v>
      </c>
      <c r="B27" s="2">
        <v>4955887</v>
      </c>
      <c r="C27" s="2" t="s">
        <v>266</v>
      </c>
      <c r="D27" s="7">
        <v>25.82</v>
      </c>
      <c r="E27" s="51">
        <v>140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255</v>
      </c>
      <c r="B28" s="2">
        <v>6973803</v>
      </c>
      <c r="C28" s="2" t="s">
        <v>266</v>
      </c>
      <c r="D28" s="7">
        <v>14.6</v>
      </c>
      <c r="E28" s="51">
        <v>0</v>
      </c>
      <c r="F28" s="7"/>
      <c r="G28" s="51"/>
      <c r="H28" s="7"/>
      <c r="I28" s="51"/>
      <c r="J28" s="2" t="s">
        <v>33</v>
      </c>
      <c r="K28" s="13"/>
    </row>
    <row r="29" spans="1:11" s="2" customFormat="1" ht="30" x14ac:dyDescent="0.25">
      <c r="A29" s="13" t="s">
        <v>116</v>
      </c>
      <c r="B29" s="14">
        <v>5105092</v>
      </c>
      <c r="C29" s="2" t="s">
        <v>20</v>
      </c>
      <c r="D29" s="7">
        <v>374.97</v>
      </c>
      <c r="E29" s="51">
        <v>3821</v>
      </c>
      <c r="F29" s="7"/>
      <c r="G29" s="51"/>
      <c r="H29" s="7"/>
      <c r="I29" s="51"/>
      <c r="J29" s="2" t="s">
        <v>33</v>
      </c>
      <c r="K29" s="13"/>
    </row>
    <row r="30" spans="1:11" s="2" customFormat="1" ht="30" x14ac:dyDescent="0.25">
      <c r="A30" s="13" t="s">
        <v>115</v>
      </c>
      <c r="B30" s="14">
        <v>9261200</v>
      </c>
      <c r="C30" s="2" t="s">
        <v>20</v>
      </c>
      <c r="D30" s="7">
        <v>92.77</v>
      </c>
      <c r="E30" s="51">
        <v>976</v>
      </c>
      <c r="F30" s="7"/>
      <c r="G30" s="51"/>
      <c r="H30" s="7"/>
      <c r="I30" s="51"/>
      <c r="J30" s="2" t="s">
        <v>33</v>
      </c>
      <c r="K30" s="13"/>
    </row>
    <row r="31" spans="1:11" s="2" customFormat="1" ht="30" x14ac:dyDescent="0.25">
      <c r="A31" s="13" t="s">
        <v>19</v>
      </c>
      <c r="B31" s="14">
        <v>7010755</v>
      </c>
      <c r="C31" s="2" t="s">
        <v>20</v>
      </c>
      <c r="D31" s="7">
        <v>235.83</v>
      </c>
      <c r="E31" s="51">
        <v>1197</v>
      </c>
      <c r="F31" s="7"/>
      <c r="G31" s="51"/>
      <c r="H31" s="7"/>
      <c r="I31" s="51"/>
      <c r="J31" s="2" t="s">
        <v>33</v>
      </c>
      <c r="K31" s="13"/>
    </row>
    <row r="32" spans="1:11" s="2" customFormat="1" ht="30" x14ac:dyDescent="0.25">
      <c r="A32" s="13" t="s">
        <v>64</v>
      </c>
      <c r="B32" s="2">
        <v>4932391</v>
      </c>
      <c r="C32" s="2" t="s">
        <v>266</v>
      </c>
      <c r="D32" s="7">
        <v>218.44</v>
      </c>
      <c r="E32" s="51">
        <v>1943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245</v>
      </c>
      <c r="B33" s="2">
        <v>4962800</v>
      </c>
      <c r="C33" s="2" t="s">
        <v>266</v>
      </c>
      <c r="D33" s="7">
        <v>27.42</v>
      </c>
      <c r="E33" s="51">
        <v>160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126</v>
      </c>
      <c r="B34" s="19">
        <v>5037202</v>
      </c>
      <c r="C34" s="2" t="s">
        <v>261</v>
      </c>
      <c r="D34" s="7">
        <v>158.54</v>
      </c>
      <c r="E34" s="51">
        <v>1860</v>
      </c>
      <c r="F34" s="7"/>
      <c r="G34" s="51"/>
      <c r="H34" s="7"/>
      <c r="I34" s="51"/>
      <c r="J34" s="2" t="s">
        <v>33</v>
      </c>
      <c r="K34" s="13"/>
    </row>
    <row r="35" spans="1:11" s="2" customFormat="1" ht="45" x14ac:dyDescent="0.25">
      <c r="A35" s="13" t="s">
        <v>123</v>
      </c>
      <c r="B35" s="14">
        <v>5036644</v>
      </c>
      <c r="C35" s="2" t="s">
        <v>261</v>
      </c>
      <c r="D35" s="7">
        <v>158.94</v>
      </c>
      <c r="E35" s="51">
        <v>283</v>
      </c>
      <c r="F35" s="7"/>
      <c r="G35" s="51"/>
      <c r="H35" s="7"/>
      <c r="I35" s="51"/>
      <c r="J35" s="2" t="s">
        <v>33</v>
      </c>
      <c r="K35" s="13"/>
    </row>
    <row r="36" spans="1:11" s="2" customFormat="1" ht="30" x14ac:dyDescent="0.25">
      <c r="A36" s="13" t="s">
        <v>125</v>
      </c>
      <c r="B36" s="14">
        <v>6722734</v>
      </c>
      <c r="C36" s="2" t="s">
        <v>261</v>
      </c>
      <c r="D36" s="7">
        <v>178.78</v>
      </c>
      <c r="E36" s="51">
        <v>594</v>
      </c>
      <c r="F36" s="7"/>
      <c r="G36" s="51"/>
      <c r="H36" s="7"/>
      <c r="I36" s="51"/>
      <c r="J36" s="2" t="s">
        <v>33</v>
      </c>
      <c r="K36" s="13"/>
    </row>
    <row r="37" spans="1:11" s="2" customFormat="1" x14ac:dyDescent="0.25">
      <c r="A37" s="13" t="s">
        <v>34</v>
      </c>
      <c r="B37" s="14">
        <v>5028615</v>
      </c>
      <c r="C37" s="2" t="s">
        <v>27</v>
      </c>
      <c r="D37" s="7">
        <v>723.56</v>
      </c>
      <c r="E37" s="51">
        <v>5720</v>
      </c>
      <c r="F37" s="7"/>
      <c r="G37" s="51"/>
      <c r="H37" s="7"/>
      <c r="I37" s="51"/>
      <c r="J37" s="2" t="s">
        <v>33</v>
      </c>
      <c r="K37" s="13"/>
    </row>
    <row r="38" spans="1:11" s="2" customFormat="1" ht="30" x14ac:dyDescent="0.25">
      <c r="A38" s="13" t="s">
        <v>38</v>
      </c>
      <c r="B38" s="14">
        <v>5231911</v>
      </c>
      <c r="C38" s="2" t="s">
        <v>27</v>
      </c>
      <c r="D38" s="7">
        <v>22.73</v>
      </c>
      <c r="E38" s="51">
        <v>150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256</v>
      </c>
      <c r="B39" s="14">
        <v>5276024</v>
      </c>
      <c r="C39" s="2" t="s">
        <v>23</v>
      </c>
      <c r="D39" s="7">
        <v>22.71</v>
      </c>
      <c r="E39" s="51">
        <v>150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240</v>
      </c>
      <c r="B40" s="2">
        <v>5031405</v>
      </c>
      <c r="C40" s="2" t="s">
        <v>27</v>
      </c>
      <c r="D40" s="7">
        <v>1202.26</v>
      </c>
      <c r="E40" s="51">
        <v>12960</v>
      </c>
      <c r="F40" s="7"/>
      <c r="G40" s="51"/>
      <c r="H40" s="7"/>
      <c r="I40" s="51"/>
      <c r="J40" s="2" t="s">
        <v>33</v>
      </c>
      <c r="K40" s="13"/>
    </row>
    <row r="41" spans="1:11" s="2" customFormat="1" ht="45" x14ac:dyDescent="0.25">
      <c r="A41" s="13" t="s">
        <v>129</v>
      </c>
      <c r="B41" s="14">
        <v>4964784</v>
      </c>
      <c r="C41" s="2" t="s">
        <v>261</v>
      </c>
      <c r="D41" s="7">
        <v>22.73</v>
      </c>
      <c r="E41" s="51">
        <v>150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241</v>
      </c>
      <c r="B42" s="2">
        <v>4912148</v>
      </c>
      <c r="C42" s="2" t="s">
        <v>27</v>
      </c>
      <c r="D42" s="7">
        <v>301.08</v>
      </c>
      <c r="E42" s="51">
        <v>1260</v>
      </c>
      <c r="F42" s="7"/>
      <c r="G42" s="51"/>
      <c r="H42" s="7"/>
      <c r="I42" s="51"/>
      <c r="J42" s="2" t="s">
        <v>33</v>
      </c>
      <c r="K42" s="13"/>
    </row>
    <row r="43" spans="1:11" s="2" customFormat="1" ht="30" x14ac:dyDescent="0.25">
      <c r="A43" s="13" t="s">
        <v>243</v>
      </c>
      <c r="B43" s="2">
        <v>4426005</v>
      </c>
      <c r="C43" s="2" t="s">
        <v>27</v>
      </c>
      <c r="D43" s="7">
        <v>1365.38</v>
      </c>
      <c r="E43" s="51">
        <v>12000</v>
      </c>
      <c r="F43" s="7"/>
      <c r="G43" s="51"/>
      <c r="H43" s="7"/>
      <c r="I43" s="51"/>
      <c r="J43" s="2" t="s">
        <v>33</v>
      </c>
      <c r="K43" s="13"/>
    </row>
    <row r="44" spans="1:11" s="2" customFormat="1" ht="30" x14ac:dyDescent="0.25">
      <c r="A44" s="13" t="s">
        <v>242</v>
      </c>
      <c r="B44" s="2">
        <v>4426036</v>
      </c>
      <c r="C44" s="2" t="s">
        <v>27</v>
      </c>
      <c r="D44" s="7">
        <v>366.02</v>
      </c>
      <c r="E44" s="51">
        <v>2100</v>
      </c>
      <c r="F44" s="7"/>
      <c r="G44" s="51"/>
      <c r="H44" s="7"/>
      <c r="I44" s="51"/>
      <c r="J44" s="2" t="s">
        <v>33</v>
      </c>
      <c r="K44" s="13"/>
    </row>
    <row r="45" spans="1:11" s="2" customFormat="1" ht="30" x14ac:dyDescent="0.25">
      <c r="A45" s="13" t="s">
        <v>244</v>
      </c>
      <c r="B45" s="2">
        <v>8184322</v>
      </c>
      <c r="C45" s="2" t="s">
        <v>27</v>
      </c>
      <c r="D45" s="7">
        <v>530.72</v>
      </c>
      <c r="E45" s="51">
        <v>3040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244</v>
      </c>
      <c r="B46" s="2">
        <v>117936</v>
      </c>
      <c r="C46" s="2" t="s">
        <v>27</v>
      </c>
      <c r="D46" s="7">
        <v>135.63999999999999</v>
      </c>
      <c r="E46" s="51">
        <v>440</v>
      </c>
      <c r="F46" s="7"/>
      <c r="G46" s="51"/>
      <c r="H46" s="7"/>
      <c r="I46" s="51"/>
      <c r="J46" s="2" t="s">
        <v>33</v>
      </c>
      <c r="K46" s="13"/>
    </row>
    <row r="47" spans="1:11" s="2" customFormat="1" ht="30" x14ac:dyDescent="0.25">
      <c r="A47" s="13" t="s">
        <v>119</v>
      </c>
      <c r="B47" s="14">
        <v>5074402</v>
      </c>
      <c r="C47" s="2" t="s">
        <v>263</v>
      </c>
      <c r="D47" s="7">
        <v>14.6</v>
      </c>
      <c r="E47" s="51">
        <v>0</v>
      </c>
      <c r="F47" s="7"/>
      <c r="G47" s="51"/>
      <c r="H47" s="7"/>
      <c r="I47" s="51"/>
      <c r="J47" s="2" t="s">
        <v>33</v>
      </c>
      <c r="K47" s="13"/>
    </row>
    <row r="48" spans="1:11" s="2" customFormat="1" x14ac:dyDescent="0.25">
      <c r="A48" s="13" t="s">
        <v>264</v>
      </c>
      <c r="B48" s="14">
        <v>8234139</v>
      </c>
      <c r="C48" s="2" t="s">
        <v>263</v>
      </c>
      <c r="D48" s="7">
        <v>26.42</v>
      </c>
      <c r="E48" s="51">
        <v>151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265</v>
      </c>
      <c r="B49" s="14">
        <v>5037326</v>
      </c>
      <c r="C49" s="2" t="s">
        <v>18</v>
      </c>
      <c r="D49" s="7">
        <v>26.09</v>
      </c>
      <c r="E49" s="51">
        <v>152</v>
      </c>
      <c r="F49" s="7"/>
      <c r="G49" s="51"/>
      <c r="H49" s="7"/>
      <c r="I49" s="51"/>
      <c r="J49" s="2" t="s">
        <v>33</v>
      </c>
      <c r="K49" s="13"/>
    </row>
    <row r="50" spans="1:11" s="2" customFormat="1" ht="30" x14ac:dyDescent="0.25">
      <c r="A50" s="13" t="s">
        <v>248</v>
      </c>
      <c r="B50" s="14">
        <v>5264802</v>
      </c>
      <c r="C50" s="2" t="s">
        <v>263</v>
      </c>
      <c r="D50" s="7">
        <v>112.95</v>
      </c>
      <c r="E50" s="51">
        <v>770</v>
      </c>
      <c r="F50" s="7"/>
      <c r="G50" s="51"/>
      <c r="H50" s="7"/>
      <c r="I50" s="51"/>
      <c r="J50" s="2" t="s">
        <v>33</v>
      </c>
      <c r="K50" s="13"/>
    </row>
    <row r="51" spans="1:11" s="2" customFormat="1" x14ac:dyDescent="0.25">
      <c r="A51" s="13" t="s">
        <v>250</v>
      </c>
      <c r="B51" s="14">
        <v>5074495</v>
      </c>
      <c r="C51" s="2" t="s">
        <v>263</v>
      </c>
      <c r="D51" s="7">
        <v>14.68</v>
      </c>
      <c r="E51" s="51">
        <v>1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252</v>
      </c>
      <c r="B52" s="2">
        <v>8239130</v>
      </c>
      <c r="C52" s="2" t="s">
        <v>262</v>
      </c>
      <c r="D52" s="7">
        <v>27.91</v>
      </c>
      <c r="E52" s="51">
        <v>166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113</v>
      </c>
      <c r="B53" s="14">
        <v>5089282</v>
      </c>
      <c r="C53" s="2" t="s">
        <v>262</v>
      </c>
      <c r="D53" s="7">
        <v>449.12</v>
      </c>
      <c r="E53" s="51">
        <v>900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114</v>
      </c>
      <c r="B54" s="14">
        <v>5089344</v>
      </c>
      <c r="C54" s="2" t="s">
        <v>262</v>
      </c>
      <c r="D54" s="7">
        <v>21.41</v>
      </c>
      <c r="E54" s="51">
        <v>85</v>
      </c>
      <c r="F54" s="7"/>
      <c r="G54" s="51"/>
      <c r="H54" s="7"/>
      <c r="I54" s="51"/>
      <c r="J54" s="2" t="s">
        <v>33</v>
      </c>
      <c r="K54" s="13"/>
    </row>
    <row r="55" spans="1:11" s="2" customFormat="1" ht="30" x14ac:dyDescent="0.25">
      <c r="A55" s="13" t="s">
        <v>151</v>
      </c>
      <c r="B55" s="14">
        <v>710315</v>
      </c>
      <c r="C55" s="2" t="s">
        <v>266</v>
      </c>
      <c r="D55" s="7">
        <v>14.6</v>
      </c>
      <c r="E55" s="51">
        <v>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152</v>
      </c>
      <c r="B56" s="14">
        <v>9498071</v>
      </c>
      <c r="C56" s="2" t="s">
        <v>266</v>
      </c>
      <c r="D56" s="7">
        <v>380.55</v>
      </c>
      <c r="E56" s="51">
        <v>320</v>
      </c>
      <c r="F56" s="7"/>
      <c r="G56" s="51"/>
      <c r="H56" s="7"/>
      <c r="I56" s="51"/>
      <c r="J56" s="2" t="s">
        <v>33</v>
      </c>
      <c r="K56" s="13"/>
    </row>
    <row r="57" spans="1:11" s="2" customFormat="1" ht="45" x14ac:dyDescent="0.25">
      <c r="A57" s="13" t="s">
        <v>153</v>
      </c>
      <c r="B57" s="2">
        <v>8327232</v>
      </c>
      <c r="C57" s="2" t="s">
        <v>266</v>
      </c>
      <c r="D57" s="7">
        <v>95.3</v>
      </c>
      <c r="E57" s="51">
        <v>0</v>
      </c>
      <c r="F57" s="7"/>
      <c r="G57" s="51"/>
      <c r="H57" s="7"/>
      <c r="I57" s="51"/>
      <c r="J57" s="2" t="s">
        <v>33</v>
      </c>
      <c r="K57" s="13"/>
    </row>
    <row r="58" spans="1:11" s="2" customFormat="1" ht="30" x14ac:dyDescent="0.25">
      <c r="A58" s="13" t="s">
        <v>150</v>
      </c>
      <c r="B58" s="14">
        <v>7480591</v>
      </c>
      <c r="C58" s="2" t="s">
        <v>266</v>
      </c>
      <c r="D58" s="7">
        <v>702.58</v>
      </c>
      <c r="E58" s="51">
        <v>8004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127</v>
      </c>
      <c r="B59" s="14">
        <v>5020429</v>
      </c>
      <c r="C59" s="2" t="s">
        <v>18</v>
      </c>
      <c r="D59" s="7">
        <v>22.29</v>
      </c>
      <c r="E59" s="51">
        <v>150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24</v>
      </c>
      <c r="B60" s="14">
        <v>4892432</v>
      </c>
      <c r="C60" s="2" t="s">
        <v>23</v>
      </c>
      <c r="D60" s="7">
        <v>181.04</v>
      </c>
      <c r="E60" s="51">
        <v>1596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21</v>
      </c>
      <c r="B61" s="14">
        <v>4968878</v>
      </c>
      <c r="C61" s="2" t="s">
        <v>23</v>
      </c>
      <c r="D61" s="7">
        <v>72.3</v>
      </c>
      <c r="E61" s="51">
        <v>720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22</v>
      </c>
      <c r="B62" s="14">
        <v>5264554</v>
      </c>
      <c r="C62" s="31" t="s">
        <v>16</v>
      </c>
      <c r="D62" s="7">
        <v>25.81</v>
      </c>
      <c r="E62" s="51">
        <v>140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30</v>
      </c>
      <c r="B63" s="14">
        <v>4914473</v>
      </c>
      <c r="C63" s="2" t="s">
        <v>27</v>
      </c>
      <c r="D63" s="7">
        <v>948.37</v>
      </c>
      <c r="E63" s="51">
        <v>13260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28</v>
      </c>
      <c r="B64" s="14">
        <v>5265050</v>
      </c>
      <c r="C64" s="2" t="s">
        <v>27</v>
      </c>
      <c r="D64" s="7">
        <v>22.73</v>
      </c>
      <c r="E64" s="51">
        <v>150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29</v>
      </c>
      <c r="B65" s="14">
        <v>5265019</v>
      </c>
      <c r="C65" s="2" t="s">
        <v>27</v>
      </c>
      <c r="D65" s="7">
        <v>16.13</v>
      </c>
      <c r="E65" s="51">
        <v>70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26</v>
      </c>
      <c r="B66" s="14">
        <v>149091</v>
      </c>
      <c r="C66" s="2" t="s">
        <v>27</v>
      </c>
      <c r="D66" s="7">
        <v>18.88</v>
      </c>
      <c r="E66" s="51">
        <v>80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246</v>
      </c>
      <c r="B67" s="14">
        <v>8463322</v>
      </c>
      <c r="C67" s="2" t="s">
        <v>262</v>
      </c>
      <c r="D67" s="7">
        <v>5012.01</v>
      </c>
      <c r="E67" s="51">
        <v>75600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32</v>
      </c>
      <c r="B68" s="14">
        <v>5021826</v>
      </c>
      <c r="C68" s="2" t="s">
        <v>18</v>
      </c>
      <c r="D68" s="7">
        <v>28.2</v>
      </c>
      <c r="E68" s="51">
        <v>172</v>
      </c>
      <c r="F68" s="7"/>
      <c r="G68" s="51"/>
      <c r="H68" s="7"/>
      <c r="I68" s="51"/>
      <c r="J68" s="2" t="s">
        <v>33</v>
      </c>
      <c r="K68" s="13"/>
    </row>
    <row r="69" spans="1:11" s="2" customFormat="1" ht="30" x14ac:dyDescent="0.25">
      <c r="A69" s="20" t="s">
        <v>39</v>
      </c>
      <c r="B69" s="21"/>
      <c r="D69" s="7"/>
      <c r="E69" s="51"/>
      <c r="F69" s="7"/>
      <c r="G69" s="51"/>
      <c r="H69" s="7"/>
      <c r="I69" s="51"/>
      <c r="K69" s="13"/>
    </row>
    <row r="70" spans="1:11" s="2" customFormat="1" ht="60" x14ac:dyDescent="0.25">
      <c r="A70" s="13" t="s">
        <v>40</v>
      </c>
      <c r="B70" s="14">
        <v>95</v>
      </c>
      <c r="C70" s="2" t="s">
        <v>161</v>
      </c>
      <c r="D70" s="7"/>
      <c r="E70" s="51"/>
      <c r="F70" s="7"/>
      <c r="G70" s="51"/>
      <c r="H70" s="7">
        <v>16</v>
      </c>
      <c r="I70" s="51">
        <v>1000</v>
      </c>
      <c r="K70" s="13" t="s">
        <v>15</v>
      </c>
    </row>
    <row r="71" spans="1:11" s="2" customFormat="1" ht="45" x14ac:dyDescent="0.25">
      <c r="A71" s="20" t="s">
        <v>49</v>
      </c>
      <c r="B71" s="21"/>
      <c r="D71" s="7"/>
      <c r="E71" s="51"/>
      <c r="F71" s="7"/>
      <c r="G71" s="51"/>
      <c r="H71" s="7"/>
      <c r="I71" s="51"/>
      <c r="K71" s="13"/>
    </row>
    <row r="72" spans="1:11" s="2" customFormat="1" ht="60" x14ac:dyDescent="0.25">
      <c r="A72" s="13" t="s">
        <v>51</v>
      </c>
      <c r="B72" s="22" t="s">
        <v>208</v>
      </c>
      <c r="C72" s="2" t="s">
        <v>199</v>
      </c>
      <c r="D72" s="7">
        <v>269</v>
      </c>
      <c r="E72" s="51">
        <v>1888</v>
      </c>
      <c r="F72" s="7"/>
      <c r="G72" s="51"/>
      <c r="H72" s="7"/>
      <c r="I72" s="51"/>
      <c r="J72" s="2" t="s">
        <v>33</v>
      </c>
      <c r="K72" s="13"/>
    </row>
    <row r="73" spans="1:11" s="2" customFormat="1" ht="60" x14ac:dyDescent="0.25">
      <c r="A73" s="13" t="s">
        <v>52</v>
      </c>
      <c r="B73" s="22" t="s">
        <v>209</v>
      </c>
      <c r="C73" s="2" t="s">
        <v>199</v>
      </c>
      <c r="D73" s="7">
        <v>142</v>
      </c>
      <c r="E73" s="51">
        <v>1081</v>
      </c>
      <c r="F73" s="7"/>
      <c r="G73" s="51"/>
      <c r="H73" s="7"/>
      <c r="I73" s="51"/>
      <c r="J73" s="2" t="s">
        <v>33</v>
      </c>
      <c r="K73" s="13"/>
    </row>
    <row r="74" spans="1:11" s="2" customFormat="1" ht="60" x14ac:dyDescent="0.25">
      <c r="A74" s="13" t="s">
        <v>211</v>
      </c>
      <c r="B74" s="22" t="s">
        <v>210</v>
      </c>
      <c r="C74" s="2" t="s">
        <v>199</v>
      </c>
      <c r="D74" s="7">
        <v>42</v>
      </c>
      <c r="E74" s="51">
        <v>110</v>
      </c>
      <c r="F74" s="7"/>
      <c r="G74" s="51"/>
      <c r="H74" s="7"/>
      <c r="I74" s="51"/>
      <c r="J74" s="2" t="s">
        <v>33</v>
      </c>
      <c r="K74" s="13"/>
    </row>
    <row r="75" spans="1:11" s="2" customFormat="1" ht="45" x14ac:dyDescent="0.25">
      <c r="A75" s="13" t="s">
        <v>55</v>
      </c>
      <c r="B75" s="22" t="s">
        <v>212</v>
      </c>
      <c r="C75" s="2" t="s">
        <v>199</v>
      </c>
      <c r="D75" s="7">
        <v>42</v>
      </c>
      <c r="E75" s="51">
        <v>49</v>
      </c>
      <c r="F75" s="7"/>
      <c r="G75" s="51"/>
      <c r="H75" s="7"/>
      <c r="I75" s="51"/>
      <c r="J75" s="2" t="s">
        <v>33</v>
      </c>
      <c r="K75" s="13"/>
    </row>
    <row r="76" spans="1:11" s="2" customFormat="1" ht="45" x14ac:dyDescent="0.25">
      <c r="A76" s="13" t="s">
        <v>56</v>
      </c>
      <c r="B76" s="22" t="s">
        <v>213</v>
      </c>
      <c r="C76" s="2" t="s">
        <v>199</v>
      </c>
      <c r="D76" s="7">
        <v>27</v>
      </c>
      <c r="E76" s="51">
        <v>76</v>
      </c>
      <c r="F76" s="7"/>
      <c r="G76" s="51"/>
      <c r="H76" s="7"/>
      <c r="I76" s="51"/>
      <c r="J76" s="2" t="s">
        <v>33</v>
      </c>
      <c r="K76" s="13"/>
    </row>
    <row r="77" spans="1:11" s="2" customFormat="1" ht="45" x14ac:dyDescent="0.25">
      <c r="A77" s="13" t="s">
        <v>57</v>
      </c>
      <c r="B77" s="22" t="s">
        <v>214</v>
      </c>
      <c r="C77" s="2" t="s">
        <v>199</v>
      </c>
      <c r="D77" s="7">
        <v>280</v>
      </c>
      <c r="E77" s="51">
        <v>2411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58</v>
      </c>
      <c r="B78" s="22" t="s">
        <v>215</v>
      </c>
      <c r="C78" s="2" t="s">
        <v>199</v>
      </c>
      <c r="D78" s="7">
        <v>105</v>
      </c>
      <c r="E78" s="51">
        <v>827</v>
      </c>
      <c r="F78" s="7"/>
      <c r="G78" s="51"/>
      <c r="H78" s="7"/>
      <c r="I78" s="51"/>
      <c r="J78" s="2" t="s">
        <v>33</v>
      </c>
      <c r="K78" s="13"/>
    </row>
    <row r="79" spans="1:11" s="2" customFormat="1" ht="45" x14ac:dyDescent="0.25">
      <c r="A79" s="13" t="s">
        <v>59</v>
      </c>
      <c r="B79" s="22" t="s">
        <v>216</v>
      </c>
      <c r="C79" s="2" t="s">
        <v>199</v>
      </c>
      <c r="D79" s="7">
        <v>54</v>
      </c>
      <c r="E79" s="51">
        <v>338</v>
      </c>
      <c r="F79" s="7"/>
      <c r="G79" s="51"/>
      <c r="H79" s="7"/>
      <c r="I79" s="51"/>
      <c r="J79" s="2" t="s">
        <v>33</v>
      </c>
      <c r="K79" s="13"/>
    </row>
    <row r="80" spans="1:11" s="2" customFormat="1" ht="45" x14ac:dyDescent="0.25">
      <c r="A80" s="13" t="s">
        <v>60</v>
      </c>
      <c r="B80" s="22" t="s">
        <v>217</v>
      </c>
      <c r="C80" s="2" t="s">
        <v>199</v>
      </c>
      <c r="D80" s="7">
        <v>42</v>
      </c>
      <c r="E80" s="51">
        <v>109</v>
      </c>
      <c r="F80" s="7"/>
      <c r="G80" s="51"/>
      <c r="H80" s="7"/>
      <c r="I80" s="51"/>
      <c r="J80" s="2" t="s">
        <v>33</v>
      </c>
      <c r="K80" s="13"/>
    </row>
    <row r="81" spans="1:11" s="2" customFormat="1" ht="30" x14ac:dyDescent="0.25">
      <c r="A81" s="13" t="s">
        <v>61</v>
      </c>
      <c r="B81" s="22" t="s">
        <v>218</v>
      </c>
      <c r="C81" s="2" t="s">
        <v>199</v>
      </c>
      <c r="D81" s="7">
        <v>19</v>
      </c>
      <c r="E81" s="51">
        <v>2</v>
      </c>
      <c r="F81" s="7"/>
      <c r="G81" s="51"/>
      <c r="H81" s="7"/>
      <c r="I81" s="51"/>
      <c r="J81" s="2" t="s">
        <v>33</v>
      </c>
      <c r="K81" s="13"/>
    </row>
    <row r="82" spans="1:11" s="2" customFormat="1" ht="30" x14ac:dyDescent="0.25">
      <c r="A82" s="13" t="s">
        <v>62</v>
      </c>
      <c r="B82" s="22" t="s">
        <v>219</v>
      </c>
      <c r="C82" s="2" t="s">
        <v>199</v>
      </c>
      <c r="D82" s="7">
        <v>21</v>
      </c>
      <c r="E82" s="51">
        <v>15</v>
      </c>
      <c r="F82" s="7"/>
      <c r="G82" s="51"/>
      <c r="H82" s="7"/>
      <c r="I82" s="51"/>
      <c r="J82" s="2" t="s">
        <v>33</v>
      </c>
      <c r="K82" s="13"/>
    </row>
    <row r="83" spans="1:11" s="2" customFormat="1" ht="30" x14ac:dyDescent="0.25">
      <c r="A83" s="13" t="s">
        <v>94</v>
      </c>
      <c r="B83" s="22" t="s">
        <v>201</v>
      </c>
      <c r="C83" s="2" t="s">
        <v>199</v>
      </c>
      <c r="D83" s="7">
        <v>56</v>
      </c>
      <c r="E83" s="51">
        <v>168</v>
      </c>
      <c r="F83" s="7"/>
      <c r="G83" s="51"/>
      <c r="H83" s="7"/>
      <c r="I83" s="51"/>
      <c r="J83" s="2" t="s">
        <v>33</v>
      </c>
      <c r="K83" s="13"/>
    </row>
    <row r="84" spans="1:11" s="2" customFormat="1" ht="30" x14ac:dyDescent="0.25">
      <c r="A84" s="13" t="s">
        <v>95</v>
      </c>
      <c r="B84" s="22" t="s">
        <v>202</v>
      </c>
      <c r="C84" s="2" t="s">
        <v>199</v>
      </c>
      <c r="D84" s="7">
        <v>1750</v>
      </c>
      <c r="E84" s="51">
        <v>12720</v>
      </c>
      <c r="F84" s="7"/>
      <c r="G84" s="51"/>
      <c r="H84" s="7"/>
      <c r="I84" s="51"/>
      <c r="J84" s="2" t="s">
        <v>33</v>
      </c>
      <c r="K84" s="13"/>
    </row>
    <row r="85" spans="1:11" s="2" customFormat="1" ht="30" x14ac:dyDescent="0.25">
      <c r="A85" s="13" t="s">
        <v>96</v>
      </c>
      <c r="B85" s="22" t="s">
        <v>203</v>
      </c>
      <c r="C85" s="2" t="s">
        <v>199</v>
      </c>
      <c r="D85" s="7">
        <v>46</v>
      </c>
      <c r="E85" s="51">
        <v>173</v>
      </c>
      <c r="F85" s="7"/>
      <c r="G85" s="51"/>
      <c r="H85" s="7"/>
      <c r="I85" s="51"/>
      <c r="J85" s="2" t="s">
        <v>33</v>
      </c>
      <c r="K85" s="13"/>
    </row>
    <row r="86" spans="1:11" s="2" customFormat="1" ht="45" x14ac:dyDescent="0.25">
      <c r="A86" s="13" t="s">
        <v>97</v>
      </c>
      <c r="B86" s="22" t="s">
        <v>204</v>
      </c>
      <c r="C86" s="2" t="s">
        <v>199</v>
      </c>
      <c r="D86" s="7">
        <v>40</v>
      </c>
      <c r="E86" s="51">
        <v>24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98</v>
      </c>
      <c r="B87" s="22" t="s">
        <v>205</v>
      </c>
      <c r="C87" s="2" t="s">
        <v>199</v>
      </c>
      <c r="D87" s="7">
        <v>19</v>
      </c>
      <c r="E87" s="51">
        <v>4</v>
      </c>
      <c r="F87" s="7"/>
      <c r="G87" s="51"/>
      <c r="H87" s="7"/>
      <c r="I87" s="51"/>
      <c r="J87" s="2" t="s">
        <v>33</v>
      </c>
      <c r="K87" s="13"/>
    </row>
    <row r="88" spans="1:11" s="2" customFormat="1" ht="30" x14ac:dyDescent="0.25">
      <c r="A88" s="13" t="s">
        <v>99</v>
      </c>
      <c r="B88" s="22" t="s">
        <v>206</v>
      </c>
      <c r="C88" s="2" t="s">
        <v>199</v>
      </c>
      <c r="D88" s="7">
        <v>29</v>
      </c>
      <c r="E88" s="51">
        <v>12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100</v>
      </c>
      <c r="B89" s="22">
        <v>1323346600</v>
      </c>
      <c r="C89" s="2" t="s">
        <v>199</v>
      </c>
      <c r="D89" s="7">
        <v>284</v>
      </c>
      <c r="E89" s="51">
        <v>2100</v>
      </c>
      <c r="F89" s="7"/>
      <c r="G89" s="51"/>
      <c r="H89" s="7"/>
      <c r="I89" s="51"/>
      <c r="J89" s="2" t="s">
        <v>33</v>
      </c>
      <c r="K89" s="13"/>
    </row>
    <row r="90" spans="1:11" s="2" customFormat="1" ht="30" x14ac:dyDescent="0.25">
      <c r="A90" s="13" t="s">
        <v>101</v>
      </c>
      <c r="B90" s="22">
        <v>1322699400</v>
      </c>
      <c r="C90" s="2" t="s">
        <v>199</v>
      </c>
      <c r="D90" s="7">
        <v>1354</v>
      </c>
      <c r="E90" s="51">
        <v>3840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102</v>
      </c>
      <c r="B91" s="22" t="s">
        <v>200</v>
      </c>
      <c r="C91" s="2" t="s">
        <v>199</v>
      </c>
      <c r="D91" s="7">
        <v>450</v>
      </c>
      <c r="E91" s="51">
        <v>2431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110</v>
      </c>
      <c r="B92" s="22" t="s">
        <v>207</v>
      </c>
      <c r="C92" s="2" t="s">
        <v>199</v>
      </c>
      <c r="D92" s="7">
        <v>119</v>
      </c>
      <c r="E92" s="51">
        <v>497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111</v>
      </c>
      <c r="B93" s="22" t="s">
        <v>222</v>
      </c>
      <c r="C93" s="2" t="s">
        <v>199</v>
      </c>
      <c r="D93" s="7">
        <v>42</v>
      </c>
      <c r="E93" s="51">
        <v>108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117</v>
      </c>
      <c r="B94" s="22" t="s">
        <v>220</v>
      </c>
      <c r="C94" s="2" t="s">
        <v>199</v>
      </c>
      <c r="D94" s="7">
        <v>76</v>
      </c>
      <c r="E94" s="51">
        <v>373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118</v>
      </c>
      <c r="B95" s="22" t="s">
        <v>221</v>
      </c>
      <c r="C95" s="2" t="s">
        <v>199</v>
      </c>
      <c r="D95" s="7">
        <v>28</v>
      </c>
      <c r="E95" s="51">
        <v>86</v>
      </c>
      <c r="F95" s="7"/>
      <c r="G95" s="51"/>
      <c r="H95" s="7"/>
      <c r="I95" s="51"/>
      <c r="J95" s="2" t="s">
        <v>33</v>
      </c>
      <c r="K95" s="13"/>
    </row>
    <row r="96" spans="1:11" s="2" customFormat="1" x14ac:dyDescent="0.25">
      <c r="A96" s="20" t="s">
        <v>70</v>
      </c>
      <c r="B96" s="21"/>
      <c r="D96" s="7"/>
      <c r="E96" s="51"/>
      <c r="F96" s="7"/>
      <c r="G96" s="51"/>
      <c r="H96" s="7"/>
      <c r="I96" s="51"/>
      <c r="K96" s="13"/>
    </row>
    <row r="97" spans="1:11" s="2" customFormat="1" ht="30" x14ac:dyDescent="0.25">
      <c r="A97" s="13" t="s">
        <v>65</v>
      </c>
      <c r="B97" s="14" t="s">
        <v>163</v>
      </c>
      <c r="C97" s="2" t="s">
        <v>199</v>
      </c>
      <c r="D97" s="7"/>
      <c r="E97" s="51"/>
      <c r="F97" s="7"/>
      <c r="G97" s="51"/>
      <c r="H97" s="7">
        <v>211.56</v>
      </c>
      <c r="I97" s="51">
        <v>229</v>
      </c>
      <c r="K97" s="13"/>
    </row>
    <row r="98" spans="1:11" s="2" customFormat="1" x14ac:dyDescent="0.25">
      <c r="A98" s="13" t="s">
        <v>37</v>
      </c>
      <c r="B98" s="14" t="s">
        <v>190</v>
      </c>
      <c r="C98" s="2" t="s">
        <v>199</v>
      </c>
      <c r="D98" s="7"/>
      <c r="E98" s="51"/>
      <c r="F98" s="7"/>
      <c r="G98" s="51"/>
      <c r="H98" s="7">
        <v>171.59</v>
      </c>
      <c r="I98" s="51">
        <v>220</v>
      </c>
      <c r="K98" s="13"/>
    </row>
    <row r="99" spans="1:11" s="2" customFormat="1" ht="30" x14ac:dyDescent="0.25">
      <c r="A99" s="13" t="s">
        <v>71</v>
      </c>
      <c r="B99" s="14" t="s">
        <v>188</v>
      </c>
      <c r="C99" s="2" t="s">
        <v>199</v>
      </c>
      <c r="D99" s="7"/>
      <c r="E99" s="51"/>
      <c r="F99" s="7"/>
      <c r="G99" s="51"/>
      <c r="H99" s="7">
        <v>53.57</v>
      </c>
      <c r="I99" s="51">
        <v>33</v>
      </c>
      <c r="K99" s="13"/>
    </row>
    <row r="100" spans="1:11" s="2" customFormat="1" ht="30" x14ac:dyDescent="0.25">
      <c r="A100" s="13" t="s">
        <v>72</v>
      </c>
      <c r="B100" s="14" t="s">
        <v>187</v>
      </c>
      <c r="C100" s="2" t="s">
        <v>199</v>
      </c>
      <c r="D100" s="7"/>
      <c r="E100" s="51"/>
      <c r="F100" s="7"/>
      <c r="G100" s="51"/>
      <c r="H100" s="7">
        <v>43.48</v>
      </c>
      <c r="I100" s="51">
        <v>10</v>
      </c>
      <c r="K100" s="13"/>
    </row>
    <row r="101" spans="1:11" s="2" customFormat="1" ht="30" x14ac:dyDescent="0.25">
      <c r="A101" s="13" t="s">
        <v>73</v>
      </c>
      <c r="B101" s="14" t="s">
        <v>171</v>
      </c>
      <c r="C101" s="2" t="s">
        <v>199</v>
      </c>
      <c r="D101" s="7"/>
      <c r="E101" s="51"/>
      <c r="F101" s="7"/>
      <c r="G101" s="51"/>
      <c r="H101" s="7">
        <v>102.83</v>
      </c>
      <c r="I101" s="51">
        <v>123</v>
      </c>
      <c r="K101" s="13"/>
    </row>
    <row r="102" spans="1:11" s="2" customFormat="1" ht="30" x14ac:dyDescent="0.25">
      <c r="A102" s="13" t="s">
        <v>74</v>
      </c>
      <c r="B102" s="14" t="s">
        <v>170</v>
      </c>
      <c r="C102" s="2" t="s">
        <v>199</v>
      </c>
      <c r="D102" s="7"/>
      <c r="E102" s="51"/>
      <c r="F102" s="7"/>
      <c r="G102" s="51"/>
      <c r="H102" s="7">
        <v>43.48</v>
      </c>
      <c r="I102" s="51">
        <v>0</v>
      </c>
      <c r="K102" s="13"/>
    </row>
    <row r="103" spans="1:11" s="2" customFormat="1" ht="30" x14ac:dyDescent="0.25">
      <c r="A103" s="13" t="s">
        <v>75</v>
      </c>
      <c r="B103" s="14" t="s">
        <v>189</v>
      </c>
      <c r="C103" s="2" t="s">
        <v>199</v>
      </c>
      <c r="D103" s="7"/>
      <c r="E103" s="51"/>
      <c r="F103" s="7"/>
      <c r="G103" s="51"/>
      <c r="H103" s="7">
        <v>281.44</v>
      </c>
      <c r="I103" s="51">
        <v>118</v>
      </c>
      <c r="K103" s="13"/>
    </row>
    <row r="104" spans="1:11" s="2" customFormat="1" ht="30" x14ac:dyDescent="0.25">
      <c r="A104" s="13" t="s">
        <v>76</v>
      </c>
      <c r="B104" s="14" t="s">
        <v>169</v>
      </c>
      <c r="C104" s="2" t="s">
        <v>199</v>
      </c>
      <c r="D104" s="7"/>
      <c r="E104" s="51"/>
      <c r="F104" s="7"/>
      <c r="G104" s="51"/>
      <c r="H104" s="7">
        <v>28.16</v>
      </c>
      <c r="I104" s="51">
        <v>1</v>
      </c>
      <c r="K104" s="13"/>
    </row>
    <row r="105" spans="1:11" s="2" customFormat="1" ht="30" x14ac:dyDescent="0.25">
      <c r="A105" s="13" t="s">
        <v>77</v>
      </c>
      <c r="B105" s="14" t="s">
        <v>168</v>
      </c>
      <c r="C105" s="2" t="s">
        <v>199</v>
      </c>
      <c r="D105" s="7"/>
      <c r="E105" s="51"/>
      <c r="F105" s="7"/>
      <c r="G105" s="51"/>
      <c r="H105" s="7">
        <v>168.23</v>
      </c>
      <c r="I105" s="51">
        <v>250</v>
      </c>
      <c r="K105" s="13"/>
    </row>
    <row r="106" spans="1:11" s="2" customFormat="1" ht="30" x14ac:dyDescent="0.25">
      <c r="A106" s="13" t="s">
        <v>78</v>
      </c>
      <c r="B106" s="14" t="s">
        <v>197</v>
      </c>
      <c r="C106" s="2" t="s">
        <v>199</v>
      </c>
      <c r="D106" s="7"/>
      <c r="E106" s="51"/>
      <c r="F106" s="7"/>
      <c r="G106" s="51"/>
      <c r="H106" s="7">
        <v>72.64</v>
      </c>
      <c r="I106" s="51">
        <v>22</v>
      </c>
      <c r="K106" s="13"/>
    </row>
    <row r="107" spans="1:11" s="2" customFormat="1" ht="30" x14ac:dyDescent="0.25">
      <c r="A107" s="13" t="s">
        <v>79</v>
      </c>
      <c r="B107" s="14" t="s">
        <v>167</v>
      </c>
      <c r="C107" s="2" t="s">
        <v>199</v>
      </c>
      <c r="D107" s="7"/>
      <c r="E107" s="51"/>
      <c r="F107" s="7"/>
      <c r="G107" s="51"/>
      <c r="H107" s="7">
        <v>43.48</v>
      </c>
      <c r="I107" s="51">
        <v>0</v>
      </c>
      <c r="K107" s="13"/>
    </row>
    <row r="108" spans="1:11" s="2" customFormat="1" ht="30" x14ac:dyDescent="0.25">
      <c r="A108" s="13" t="s">
        <v>80</v>
      </c>
      <c r="B108" s="14" t="s">
        <v>177</v>
      </c>
      <c r="C108" s="2" t="s">
        <v>199</v>
      </c>
      <c r="D108" s="7"/>
      <c r="E108" s="51"/>
      <c r="F108" s="7"/>
      <c r="G108" s="51"/>
      <c r="H108" s="7">
        <v>28.16</v>
      </c>
      <c r="I108" s="51">
        <v>0</v>
      </c>
      <c r="K108" s="13"/>
    </row>
    <row r="109" spans="1:11" s="2" customFormat="1" ht="30" x14ac:dyDescent="0.25">
      <c r="A109" s="13" t="s">
        <v>81</v>
      </c>
      <c r="B109" s="14" t="s">
        <v>180</v>
      </c>
      <c r="C109" s="2" t="s">
        <v>199</v>
      </c>
      <c r="D109" s="7"/>
      <c r="E109" s="51"/>
      <c r="F109" s="7"/>
      <c r="G109" s="51"/>
      <c r="H109" s="7">
        <v>28.16</v>
      </c>
      <c r="I109" s="51">
        <v>16</v>
      </c>
      <c r="K109" s="13"/>
    </row>
    <row r="110" spans="1:11" s="2" customFormat="1" ht="30" x14ac:dyDescent="0.25">
      <c r="A110" s="13" t="s">
        <v>82</v>
      </c>
      <c r="B110" s="14" t="s">
        <v>179</v>
      </c>
      <c r="C110" s="2" t="s">
        <v>199</v>
      </c>
      <c r="D110" s="7"/>
      <c r="E110" s="51"/>
      <c r="F110" s="7"/>
      <c r="G110" s="51"/>
      <c r="H110" s="7">
        <v>46.68</v>
      </c>
      <c r="I110" s="51">
        <v>26</v>
      </c>
      <c r="K110" s="13"/>
    </row>
    <row r="111" spans="1:11" s="2" customFormat="1" ht="30" x14ac:dyDescent="0.25">
      <c r="A111" s="13" t="s">
        <v>83</v>
      </c>
      <c r="B111" s="14" t="s">
        <v>178</v>
      </c>
      <c r="C111" s="2" t="s">
        <v>199</v>
      </c>
      <c r="D111" s="7"/>
      <c r="E111" s="51"/>
      <c r="F111" s="7"/>
      <c r="G111" s="51"/>
      <c r="H111" s="7">
        <v>50.5</v>
      </c>
      <c r="I111" s="51">
        <v>13</v>
      </c>
      <c r="K111" s="13"/>
    </row>
    <row r="112" spans="1:11" s="2" customFormat="1" ht="30" x14ac:dyDescent="0.25">
      <c r="A112" s="13" t="s">
        <v>84</v>
      </c>
      <c r="B112" s="14" t="s">
        <v>175</v>
      </c>
      <c r="C112" s="2" t="s">
        <v>199</v>
      </c>
      <c r="D112" s="7"/>
      <c r="E112" s="51"/>
      <c r="F112" s="7"/>
      <c r="G112" s="51"/>
      <c r="H112" s="7">
        <v>28.16</v>
      </c>
      <c r="I112" s="51">
        <v>13</v>
      </c>
      <c r="K112" s="13"/>
    </row>
    <row r="113" spans="1:11" s="2" customFormat="1" ht="30" x14ac:dyDescent="0.25">
      <c r="A113" s="13" t="s">
        <v>85</v>
      </c>
      <c r="B113" s="14" t="s">
        <v>184</v>
      </c>
      <c r="C113" s="2" t="s">
        <v>199</v>
      </c>
      <c r="D113" s="7"/>
      <c r="E113" s="51"/>
      <c r="F113" s="7"/>
      <c r="G113" s="51"/>
      <c r="H113" s="7">
        <v>28.16</v>
      </c>
      <c r="I113" s="51">
        <v>0</v>
      </c>
      <c r="K113" s="13"/>
    </row>
    <row r="114" spans="1:11" s="2" customFormat="1" ht="30" x14ac:dyDescent="0.25">
      <c r="A114" s="13" t="s">
        <v>86</v>
      </c>
      <c r="B114" s="14" t="s">
        <v>185</v>
      </c>
      <c r="C114" s="2" t="s">
        <v>199</v>
      </c>
      <c r="D114" s="7"/>
      <c r="E114" s="51"/>
      <c r="F114" s="7"/>
      <c r="G114" s="51"/>
      <c r="H114" s="7">
        <v>28.16</v>
      </c>
      <c r="I114" s="51">
        <v>6</v>
      </c>
      <c r="K114" s="13"/>
    </row>
    <row r="115" spans="1:11" s="2" customFormat="1" ht="30" x14ac:dyDescent="0.25">
      <c r="A115" s="13" t="s">
        <v>87</v>
      </c>
      <c r="B115" s="14" t="s">
        <v>181</v>
      </c>
      <c r="C115" s="2" t="s">
        <v>199</v>
      </c>
      <c r="D115" s="7"/>
      <c r="E115" s="51"/>
      <c r="F115" s="7"/>
      <c r="G115" s="51"/>
      <c r="H115" s="7">
        <v>28.16</v>
      </c>
      <c r="I115" s="51">
        <v>16</v>
      </c>
      <c r="K115" s="13"/>
    </row>
    <row r="116" spans="1:11" s="2" customFormat="1" ht="30" x14ac:dyDescent="0.25">
      <c r="A116" s="13" t="s">
        <v>88</v>
      </c>
      <c r="B116" s="14" t="s">
        <v>172</v>
      </c>
      <c r="C116" s="2" t="s">
        <v>199</v>
      </c>
      <c r="D116" s="7"/>
      <c r="E116" s="51"/>
      <c r="F116" s="7"/>
      <c r="G116" s="51"/>
      <c r="H116" s="7">
        <v>28.16</v>
      </c>
      <c r="I116" s="51">
        <v>1</v>
      </c>
      <c r="K116" s="13"/>
    </row>
    <row r="117" spans="1:11" s="2" customFormat="1" ht="45" x14ac:dyDescent="0.25">
      <c r="A117" s="13" t="s">
        <v>89</v>
      </c>
      <c r="B117" s="14" t="s">
        <v>173</v>
      </c>
      <c r="C117" s="2" t="s">
        <v>199</v>
      </c>
      <c r="D117" s="7"/>
      <c r="E117" s="51"/>
      <c r="F117" s="7"/>
      <c r="G117" s="51"/>
      <c r="H117" s="7">
        <v>251.21</v>
      </c>
      <c r="I117" s="51">
        <v>345</v>
      </c>
      <c r="K117" s="13"/>
    </row>
    <row r="118" spans="1:11" s="2" customFormat="1" ht="30" x14ac:dyDescent="0.25">
      <c r="A118" s="13" t="s">
        <v>90</v>
      </c>
      <c r="B118" s="14" t="s">
        <v>174</v>
      </c>
      <c r="C118" s="2" t="s">
        <v>199</v>
      </c>
      <c r="D118" s="7"/>
      <c r="E118" s="51"/>
      <c r="F118" s="7"/>
      <c r="G118" s="51"/>
      <c r="H118" s="7">
        <v>42.04</v>
      </c>
      <c r="I118" s="51">
        <v>46</v>
      </c>
      <c r="K118" s="13"/>
    </row>
    <row r="119" spans="1:11" s="2" customFormat="1" ht="33" customHeight="1" x14ac:dyDescent="0.25">
      <c r="A119" s="13" t="s">
        <v>91</v>
      </c>
      <c r="B119" s="14" t="s">
        <v>182</v>
      </c>
      <c r="C119" s="2" t="s">
        <v>199</v>
      </c>
      <c r="D119" s="7"/>
      <c r="E119" s="51"/>
      <c r="F119" s="7"/>
      <c r="G119" s="51"/>
      <c r="H119" s="7">
        <v>47.75</v>
      </c>
      <c r="I119" s="51">
        <v>28</v>
      </c>
      <c r="K119" s="13"/>
    </row>
    <row r="120" spans="1:11" s="2" customFormat="1" ht="30" x14ac:dyDescent="0.25">
      <c r="A120" s="13" t="s">
        <v>92</v>
      </c>
      <c r="B120" s="14" t="s">
        <v>186</v>
      </c>
      <c r="C120" s="2" t="s">
        <v>199</v>
      </c>
      <c r="D120" s="7"/>
      <c r="E120" s="51"/>
      <c r="F120" s="7"/>
      <c r="G120" s="51"/>
      <c r="H120" s="7">
        <v>28.16</v>
      </c>
      <c r="I120" s="51">
        <v>15</v>
      </c>
      <c r="K120" s="13"/>
    </row>
    <row r="121" spans="1:11" s="2" customFormat="1" ht="30" x14ac:dyDescent="0.25">
      <c r="A121" s="13" t="s">
        <v>93</v>
      </c>
      <c r="B121" s="14" t="s">
        <v>183</v>
      </c>
      <c r="C121" s="2" t="s">
        <v>199</v>
      </c>
      <c r="D121" s="7"/>
      <c r="E121" s="51"/>
      <c r="F121" s="7"/>
      <c r="G121" s="51"/>
      <c r="H121" s="7">
        <v>28.16</v>
      </c>
      <c r="I121" s="51">
        <v>0</v>
      </c>
      <c r="K121" s="13"/>
    </row>
    <row r="122" spans="1:11" s="2" customFormat="1" ht="30" x14ac:dyDescent="0.25">
      <c r="A122" s="13" t="s">
        <v>103</v>
      </c>
      <c r="B122" s="14" t="s">
        <v>194</v>
      </c>
      <c r="C122" s="2" t="s">
        <v>199</v>
      </c>
      <c r="D122" s="7"/>
      <c r="E122" s="51"/>
      <c r="F122" s="7"/>
      <c r="G122" s="51"/>
      <c r="H122" s="7">
        <v>43.97</v>
      </c>
      <c r="I122" s="51">
        <v>2</v>
      </c>
      <c r="K122" s="13"/>
    </row>
    <row r="123" spans="1:11" s="2" customFormat="1" ht="30" x14ac:dyDescent="0.25">
      <c r="A123" s="13" t="s">
        <v>104</v>
      </c>
      <c r="B123" s="14" t="s">
        <v>195</v>
      </c>
      <c r="C123" s="2" t="s">
        <v>199</v>
      </c>
      <c r="D123" s="7"/>
      <c r="E123" s="51"/>
      <c r="F123" s="7"/>
      <c r="G123" s="51"/>
      <c r="H123" s="7">
        <v>43.48</v>
      </c>
      <c r="I123" s="51">
        <v>14</v>
      </c>
      <c r="K123" s="13"/>
    </row>
    <row r="124" spans="1:11" s="2" customFormat="1" ht="30" x14ac:dyDescent="0.25">
      <c r="A124" s="13" t="s">
        <v>105</v>
      </c>
      <c r="B124" s="14" t="s">
        <v>196</v>
      </c>
      <c r="C124" s="2" t="s">
        <v>199</v>
      </c>
      <c r="D124" s="7"/>
      <c r="E124" s="51"/>
      <c r="F124" s="7"/>
      <c r="G124" s="51"/>
      <c r="H124" s="7">
        <v>42.24</v>
      </c>
      <c r="I124" s="51">
        <v>1</v>
      </c>
      <c r="K124" s="13"/>
    </row>
    <row r="125" spans="1:11" s="2" customFormat="1" ht="30" x14ac:dyDescent="0.25">
      <c r="A125" s="13" t="s">
        <v>68</v>
      </c>
      <c r="B125" s="14" t="s">
        <v>166</v>
      </c>
      <c r="C125" s="2" t="s">
        <v>199</v>
      </c>
      <c r="D125" s="7"/>
      <c r="E125" s="51"/>
      <c r="F125" s="7"/>
      <c r="G125" s="51"/>
      <c r="H125" s="7">
        <v>103.48</v>
      </c>
      <c r="I125" s="51">
        <v>34</v>
      </c>
      <c r="K125" s="13"/>
    </row>
    <row r="126" spans="1:11" s="2" customFormat="1" ht="30" x14ac:dyDescent="0.25">
      <c r="A126" s="13" t="s">
        <v>46</v>
      </c>
      <c r="B126" s="14" t="s">
        <v>193</v>
      </c>
      <c r="C126" s="2" t="s">
        <v>199</v>
      </c>
      <c r="D126" s="7"/>
      <c r="E126" s="51"/>
      <c r="F126" s="7"/>
      <c r="G126" s="51"/>
      <c r="H126" s="7">
        <v>47.22</v>
      </c>
      <c r="I126" s="51">
        <v>27</v>
      </c>
      <c r="K126" s="13"/>
    </row>
    <row r="127" spans="1:11" s="2" customFormat="1" ht="30" x14ac:dyDescent="0.25">
      <c r="A127" s="13" t="s">
        <v>17</v>
      </c>
      <c r="B127" s="14" t="s">
        <v>192</v>
      </c>
      <c r="C127" s="2" t="s">
        <v>199</v>
      </c>
      <c r="D127" s="7"/>
      <c r="E127" s="51"/>
      <c r="F127" s="7"/>
      <c r="G127" s="51"/>
      <c r="H127" s="7">
        <v>90.19</v>
      </c>
      <c r="I127" s="51">
        <v>0</v>
      </c>
      <c r="K127" s="13"/>
    </row>
    <row r="128" spans="1:11" s="2" customFormat="1" ht="30" x14ac:dyDescent="0.25">
      <c r="A128" s="13" t="s">
        <v>47</v>
      </c>
      <c r="B128" s="14" t="s">
        <v>139</v>
      </c>
      <c r="C128" s="2" t="s">
        <v>198</v>
      </c>
      <c r="D128" s="7"/>
      <c r="E128" s="51"/>
      <c r="F128" s="7"/>
      <c r="G128" s="51"/>
      <c r="H128" s="7">
        <v>55.96</v>
      </c>
      <c r="I128" s="51">
        <v>42</v>
      </c>
      <c r="K128" s="13"/>
    </row>
    <row r="129" spans="1:11" s="2" customFormat="1" ht="30" x14ac:dyDescent="0.25">
      <c r="A129" s="13" t="s">
        <v>64</v>
      </c>
      <c r="B129" s="14" t="s">
        <v>191</v>
      </c>
      <c r="C129" s="2" t="s">
        <v>199</v>
      </c>
      <c r="D129" s="7"/>
      <c r="E129" s="51"/>
      <c r="F129" s="7"/>
      <c r="G129" s="51"/>
      <c r="H129" s="7">
        <v>133.04</v>
      </c>
      <c r="I129" s="51">
        <v>158</v>
      </c>
      <c r="K129" s="13"/>
    </row>
    <row r="130" spans="1:11" s="2" customFormat="1" ht="30" x14ac:dyDescent="0.25">
      <c r="A130" s="13" t="s">
        <v>130</v>
      </c>
      <c r="B130" s="14" t="s">
        <v>131</v>
      </c>
      <c r="C130" s="2" t="s">
        <v>198</v>
      </c>
      <c r="D130" s="7"/>
      <c r="E130" s="51"/>
      <c r="F130" s="7"/>
      <c r="G130" s="51"/>
      <c r="H130" s="7">
        <v>239.64</v>
      </c>
      <c r="I130" s="51">
        <v>351</v>
      </c>
      <c r="K130" s="13"/>
    </row>
    <row r="131" spans="1:11" s="2" customFormat="1" ht="30" x14ac:dyDescent="0.25">
      <c r="A131" s="13" t="s">
        <v>134</v>
      </c>
      <c r="B131" s="14" t="s">
        <v>133</v>
      </c>
      <c r="C131" s="2" t="s">
        <v>198</v>
      </c>
      <c r="D131" s="7"/>
      <c r="E131" s="51"/>
      <c r="F131" s="7"/>
      <c r="G131" s="51"/>
      <c r="H131" s="7">
        <v>80.33</v>
      </c>
      <c r="I131" s="51">
        <v>89</v>
      </c>
      <c r="K131" s="13"/>
    </row>
    <row r="132" spans="1:11" s="2" customFormat="1" x14ac:dyDescent="0.25">
      <c r="A132" s="13" t="s">
        <v>136</v>
      </c>
      <c r="B132" s="14" t="s">
        <v>135</v>
      </c>
      <c r="C132" s="2" t="s">
        <v>198</v>
      </c>
      <c r="D132" s="7"/>
      <c r="E132" s="51"/>
      <c r="F132" s="7"/>
      <c r="G132" s="51"/>
      <c r="H132" s="7">
        <v>1625.23</v>
      </c>
      <c r="I132" s="51">
        <v>1719</v>
      </c>
      <c r="K132" s="13"/>
    </row>
    <row r="133" spans="1:11" s="2" customFormat="1" x14ac:dyDescent="0.25">
      <c r="A133" s="13" t="s">
        <v>137</v>
      </c>
      <c r="B133" s="14" t="s">
        <v>138</v>
      </c>
      <c r="C133" s="2" t="s">
        <v>198</v>
      </c>
      <c r="D133" s="7"/>
      <c r="E133" s="51"/>
      <c r="F133" s="7"/>
      <c r="G133" s="51"/>
      <c r="H133" s="7">
        <v>28.16</v>
      </c>
      <c r="I133" s="51">
        <v>0</v>
      </c>
      <c r="K133" s="13"/>
    </row>
    <row r="134" spans="1:11" s="2" customFormat="1" ht="30" x14ac:dyDescent="0.25">
      <c r="A134" s="13" t="s">
        <v>140</v>
      </c>
      <c r="B134" s="14" t="s">
        <v>141</v>
      </c>
      <c r="C134" s="2" t="s">
        <v>198</v>
      </c>
      <c r="D134" s="7"/>
      <c r="E134" s="51"/>
      <c r="F134" s="7"/>
      <c r="G134" s="51"/>
      <c r="H134" s="7">
        <v>43.48</v>
      </c>
      <c r="I134" s="51">
        <v>0</v>
      </c>
      <c r="K134" s="13"/>
    </row>
    <row r="135" spans="1:11" s="2" customFormat="1" x14ac:dyDescent="0.25">
      <c r="A135" s="13" t="s">
        <v>142</v>
      </c>
      <c r="B135" s="14" t="s">
        <v>143</v>
      </c>
      <c r="C135" s="2" t="s">
        <v>198</v>
      </c>
      <c r="D135" s="7"/>
      <c r="E135" s="51"/>
      <c r="F135" s="7"/>
      <c r="G135" s="51"/>
      <c r="H135" s="7">
        <v>47.92</v>
      </c>
      <c r="I135" s="51">
        <v>57</v>
      </c>
      <c r="K135" s="13"/>
    </row>
    <row r="136" spans="1:11" s="2" customFormat="1" x14ac:dyDescent="0.25">
      <c r="A136" s="13" t="s">
        <v>144</v>
      </c>
      <c r="B136" s="14" t="s">
        <v>145</v>
      </c>
      <c r="C136" s="2" t="s">
        <v>198</v>
      </c>
      <c r="D136" s="7"/>
      <c r="E136" s="51"/>
      <c r="F136" s="7"/>
      <c r="G136" s="51"/>
      <c r="H136" s="7">
        <v>258.49</v>
      </c>
      <c r="I136" s="51">
        <v>306</v>
      </c>
      <c r="K136" s="13"/>
    </row>
    <row r="137" spans="1:11" s="2" customFormat="1" x14ac:dyDescent="0.25">
      <c r="A137" s="13" t="s">
        <v>146</v>
      </c>
      <c r="B137" s="14" t="s">
        <v>147</v>
      </c>
      <c r="C137" s="2" t="s">
        <v>198</v>
      </c>
      <c r="D137" s="7"/>
      <c r="E137" s="51"/>
      <c r="F137" s="7"/>
      <c r="G137" s="51"/>
      <c r="H137" s="7">
        <v>123.45</v>
      </c>
      <c r="I137" s="51">
        <v>181</v>
      </c>
      <c r="K137" s="13"/>
    </row>
    <row r="138" spans="1:11" s="2" customFormat="1" x14ac:dyDescent="0.25">
      <c r="A138" s="13" t="s">
        <v>176</v>
      </c>
      <c r="B138" s="14" t="s">
        <v>165</v>
      </c>
      <c r="C138" s="2" t="s">
        <v>198</v>
      </c>
      <c r="D138" s="7"/>
      <c r="E138" s="51"/>
      <c r="F138" s="7"/>
      <c r="G138" s="51"/>
      <c r="H138" s="7">
        <v>111.82</v>
      </c>
      <c r="I138" s="51">
        <v>110</v>
      </c>
      <c r="K138" s="13"/>
    </row>
    <row r="139" spans="1:11" s="2" customFormat="1" ht="30" x14ac:dyDescent="0.25">
      <c r="A139" s="20" t="s">
        <v>106</v>
      </c>
      <c r="B139" s="21"/>
      <c r="D139" s="7"/>
      <c r="E139" s="51"/>
      <c r="F139" s="7"/>
      <c r="G139" s="51"/>
      <c r="H139" s="7"/>
      <c r="I139" s="51"/>
      <c r="K139" s="13"/>
    </row>
    <row r="140" spans="1:11" s="2" customFormat="1" ht="30" x14ac:dyDescent="0.25">
      <c r="A140" s="13" t="s">
        <v>107</v>
      </c>
      <c r="B140" s="14">
        <v>67</v>
      </c>
      <c r="C140" s="2" t="s">
        <v>159</v>
      </c>
      <c r="D140" s="7"/>
      <c r="E140" s="51"/>
      <c r="F140" s="7"/>
      <c r="G140" s="51"/>
      <c r="H140" s="7">
        <v>50</v>
      </c>
      <c r="I140" s="51">
        <v>0</v>
      </c>
      <c r="K140" s="13"/>
    </row>
    <row r="141" spans="1:11" s="2" customFormat="1" ht="30" x14ac:dyDescent="0.25">
      <c r="A141" s="13" t="s">
        <v>109</v>
      </c>
      <c r="B141" s="14">
        <v>95</v>
      </c>
      <c r="C141" s="2" t="s">
        <v>159</v>
      </c>
      <c r="D141" s="7"/>
      <c r="E141" s="51"/>
      <c r="F141" s="7"/>
      <c r="G141" s="51"/>
      <c r="H141" s="7">
        <v>60</v>
      </c>
      <c r="I141" s="51">
        <v>900</v>
      </c>
      <c r="K141" s="13"/>
    </row>
    <row r="142" spans="1:11" s="2" customFormat="1" x14ac:dyDescent="0.25">
      <c r="A142" s="5" t="s">
        <v>155</v>
      </c>
      <c r="B142" s="23"/>
      <c r="D142" s="7"/>
      <c r="E142" s="51"/>
      <c r="F142" s="7"/>
      <c r="G142" s="51"/>
      <c r="H142" s="7"/>
      <c r="I142" s="51"/>
      <c r="K142" s="13"/>
    </row>
    <row r="143" spans="1:11" s="2" customFormat="1" ht="30" x14ac:dyDescent="0.25">
      <c r="A143" s="13" t="s">
        <v>156</v>
      </c>
      <c r="B143" s="24">
        <v>61</v>
      </c>
      <c r="C143" s="2" t="s">
        <v>157</v>
      </c>
      <c r="D143" s="7"/>
      <c r="E143" s="51"/>
      <c r="F143" s="7"/>
      <c r="G143" s="51"/>
      <c r="H143" s="7">
        <v>30.15</v>
      </c>
      <c r="I143" s="51">
        <v>10</v>
      </c>
      <c r="K143" s="13"/>
    </row>
    <row r="144" spans="1:11" x14ac:dyDescent="0.25">
      <c r="D144" s="7">
        <f t="shared" ref="D144:I144" si="0">SUM(D2:D143)</f>
        <v>21236.07</v>
      </c>
      <c r="E144" s="52">
        <f t="shared" si="0"/>
        <v>194984</v>
      </c>
      <c r="F144" s="7">
        <f t="shared" si="0"/>
        <v>1650.19</v>
      </c>
      <c r="G144" s="52">
        <f t="shared" si="0"/>
        <v>2053</v>
      </c>
      <c r="H144" s="7">
        <f t="shared" si="0"/>
        <v>5186.329999999999</v>
      </c>
      <c r="I144" s="52">
        <f t="shared" si="0"/>
        <v>6532</v>
      </c>
    </row>
  </sheetData>
  <sortState ref="A20:K115">
    <sortCondition ref="A20:A115"/>
  </sortState>
  <pageMargins left="0.7" right="0.7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20"/>
  <sheetViews>
    <sheetView workbookViewId="0">
      <selection activeCell="D19" sqref="D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194984</v>
      </c>
      <c r="D13" s="34"/>
      <c r="E13" s="35" t="s">
        <v>33</v>
      </c>
      <c r="F13" s="34"/>
      <c r="G13" s="42">
        <v>21974.469999999998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35">
        <v>2053</v>
      </c>
      <c r="D15" s="34"/>
      <c r="E15" s="35" t="s">
        <v>10</v>
      </c>
      <c r="F15" s="34"/>
      <c r="G15" s="42">
        <v>1650.19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6532</v>
      </c>
      <c r="D17" s="34"/>
      <c r="E17" s="35" t="s">
        <v>278</v>
      </c>
      <c r="F17" s="34"/>
      <c r="G17" s="42">
        <v>5186.329999999999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46"/>
  <sheetViews>
    <sheetView workbookViewId="0">
      <pane ySplit="1" topLeftCell="A50" activePane="bottomLeft" state="frozen"/>
      <selection pane="bottomLeft" activeCell="A60" sqref="A60"/>
    </sheetView>
  </sheetViews>
  <sheetFormatPr defaultRowHeight="15" x14ac:dyDescent="0.25"/>
  <cols>
    <col min="1" max="1" width="19.7109375" customWidth="1"/>
    <col min="2" max="2" width="12.28515625" style="25" bestFit="1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9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9.140625" style="1"/>
  </cols>
  <sheetData>
    <row r="1" spans="1:11" s="4" customFormat="1" x14ac:dyDescent="0.25">
      <c r="A1" s="4" t="s">
        <v>0</v>
      </c>
      <c r="B1" s="25" t="s">
        <v>122</v>
      </c>
      <c r="C1" s="4" t="s">
        <v>5</v>
      </c>
      <c r="D1" s="6" t="s">
        <v>1</v>
      </c>
      <c r="E1" s="50" t="s">
        <v>4</v>
      </c>
      <c r="F1" s="8" t="s">
        <v>2</v>
      </c>
      <c r="G1" s="53" t="s">
        <v>4</v>
      </c>
      <c r="H1" s="8" t="s">
        <v>3</v>
      </c>
      <c r="I1" s="53" t="s">
        <v>4</v>
      </c>
      <c r="J1" s="4" t="s">
        <v>9</v>
      </c>
      <c r="K1" s="3" t="s">
        <v>12</v>
      </c>
    </row>
    <row r="2" spans="1:11" s="335" customFormat="1" x14ac:dyDescent="0.25">
      <c r="A2" s="339" t="s">
        <v>6</v>
      </c>
      <c r="B2" s="340"/>
      <c r="D2" s="336"/>
      <c r="E2" s="337"/>
      <c r="F2" s="336"/>
      <c r="G2" s="337"/>
      <c r="H2" s="336"/>
      <c r="I2" s="337"/>
      <c r="K2" s="338"/>
    </row>
    <row r="3" spans="1:11" ht="30" x14ac:dyDescent="0.25">
      <c r="A3" s="1" t="s">
        <v>7</v>
      </c>
      <c r="B3" s="27">
        <v>3038136345</v>
      </c>
      <c r="C3" t="s">
        <v>8</v>
      </c>
      <c r="F3" s="9">
        <v>338.84</v>
      </c>
      <c r="G3" s="54">
        <v>681</v>
      </c>
      <c r="J3" t="s">
        <v>10</v>
      </c>
    </row>
    <row r="4" spans="1:11" ht="30" x14ac:dyDescent="0.25">
      <c r="A4" s="1" t="s">
        <v>13</v>
      </c>
      <c r="B4" s="27">
        <v>3026210376</v>
      </c>
      <c r="C4" t="s">
        <v>11</v>
      </c>
      <c r="F4" s="9">
        <v>48.75</v>
      </c>
      <c r="G4" s="54">
        <v>18</v>
      </c>
      <c r="J4" t="s">
        <v>10</v>
      </c>
    </row>
    <row r="5" spans="1:11" ht="30" x14ac:dyDescent="0.25">
      <c r="A5" s="1" t="s">
        <v>36</v>
      </c>
      <c r="B5" s="27">
        <v>3039781986</v>
      </c>
      <c r="C5" t="s">
        <v>14</v>
      </c>
      <c r="F5" s="9">
        <v>40.89</v>
      </c>
      <c r="G5" s="54">
        <v>0</v>
      </c>
      <c r="J5" t="s">
        <v>10</v>
      </c>
    </row>
    <row r="6" spans="1:11" x14ac:dyDescent="0.25">
      <c r="A6" s="1" t="s">
        <v>34</v>
      </c>
      <c r="B6" s="27">
        <v>3039472917</v>
      </c>
      <c r="C6" t="s">
        <v>35</v>
      </c>
      <c r="F6" s="9">
        <v>47.89</v>
      </c>
      <c r="G6" s="54">
        <v>16</v>
      </c>
      <c r="J6" t="s">
        <v>10</v>
      </c>
    </row>
    <row r="7" spans="1:11" x14ac:dyDescent="0.25">
      <c r="A7" s="1" t="s">
        <v>37</v>
      </c>
      <c r="B7" s="27">
        <v>4005211270</v>
      </c>
      <c r="C7" t="s">
        <v>14</v>
      </c>
      <c r="F7" s="9">
        <v>52.7</v>
      </c>
      <c r="G7" s="54">
        <v>27</v>
      </c>
      <c r="J7" t="s">
        <v>10</v>
      </c>
    </row>
    <row r="8" spans="1:11" ht="45" x14ac:dyDescent="0.25">
      <c r="A8" s="1" t="s">
        <v>41</v>
      </c>
      <c r="B8" s="27">
        <v>3044004323</v>
      </c>
      <c r="C8" t="s">
        <v>8</v>
      </c>
      <c r="F8" s="9">
        <v>43.65</v>
      </c>
      <c r="G8" s="54">
        <v>3</v>
      </c>
      <c r="J8" t="s">
        <v>10</v>
      </c>
    </row>
    <row r="9" spans="1:11" ht="45" x14ac:dyDescent="0.25">
      <c r="A9" s="1" t="s">
        <v>42</v>
      </c>
      <c r="B9" s="27">
        <v>3029257704</v>
      </c>
      <c r="C9" t="s">
        <v>8</v>
      </c>
      <c r="F9" s="9">
        <v>42.44</v>
      </c>
      <c r="G9" s="54">
        <v>0</v>
      </c>
      <c r="J9" t="s">
        <v>10</v>
      </c>
    </row>
    <row r="10" spans="1:11" ht="30" x14ac:dyDescent="0.25">
      <c r="A10" s="1" t="s">
        <v>44</v>
      </c>
      <c r="B10" s="27">
        <v>3039640691</v>
      </c>
      <c r="C10" t="s">
        <v>11</v>
      </c>
      <c r="F10" s="9">
        <v>57.07</v>
      </c>
      <c r="G10" s="54">
        <v>37</v>
      </c>
      <c r="J10" t="s">
        <v>10</v>
      </c>
    </row>
    <row r="11" spans="1:11" ht="30" x14ac:dyDescent="0.25">
      <c r="A11" s="1" t="s">
        <v>43</v>
      </c>
      <c r="B11" s="27">
        <v>303978225</v>
      </c>
      <c r="C11" t="s">
        <v>11</v>
      </c>
      <c r="F11" s="9">
        <v>54.9</v>
      </c>
      <c r="G11" s="54">
        <v>32</v>
      </c>
      <c r="J11" t="s">
        <v>10</v>
      </c>
    </row>
    <row r="12" spans="1:11" ht="45" x14ac:dyDescent="0.25">
      <c r="A12" s="1" t="s">
        <v>45</v>
      </c>
      <c r="B12" s="27">
        <v>3039618715</v>
      </c>
      <c r="C12" t="s">
        <v>8</v>
      </c>
      <c r="F12" s="9">
        <v>42.85</v>
      </c>
      <c r="G12" s="54">
        <v>1</v>
      </c>
      <c r="J12" t="s">
        <v>10</v>
      </c>
    </row>
    <row r="13" spans="1:11" ht="30" x14ac:dyDescent="0.25">
      <c r="A13" s="1" t="s">
        <v>46</v>
      </c>
      <c r="B13" s="27">
        <v>3023189549</v>
      </c>
      <c r="C13" t="s">
        <v>11</v>
      </c>
      <c r="F13" s="9">
        <v>40.89</v>
      </c>
      <c r="G13" s="54">
        <v>0</v>
      </c>
      <c r="J13" t="s">
        <v>10</v>
      </c>
    </row>
    <row r="14" spans="1:11" ht="30" x14ac:dyDescent="0.25">
      <c r="A14" s="1" t="s">
        <v>47</v>
      </c>
      <c r="B14" s="27">
        <v>3034878837</v>
      </c>
      <c r="C14" t="s">
        <v>11</v>
      </c>
      <c r="F14" s="9">
        <v>40.89</v>
      </c>
      <c r="G14" s="54">
        <v>0</v>
      </c>
      <c r="J14" t="s">
        <v>10</v>
      </c>
    </row>
    <row r="15" spans="1:11" ht="30" x14ac:dyDescent="0.25">
      <c r="A15" s="1" t="s">
        <v>64</v>
      </c>
      <c r="B15" s="27">
        <v>3025670416</v>
      </c>
      <c r="C15" t="s">
        <v>63</v>
      </c>
      <c r="F15" s="9">
        <v>43.51</v>
      </c>
      <c r="G15" s="54">
        <v>6</v>
      </c>
      <c r="J15" t="s">
        <v>10</v>
      </c>
    </row>
    <row r="16" spans="1:11" ht="30" x14ac:dyDescent="0.25">
      <c r="A16" s="1" t="s">
        <v>65</v>
      </c>
      <c r="B16" s="27">
        <v>3023110891</v>
      </c>
      <c r="C16" t="s">
        <v>66</v>
      </c>
      <c r="F16" s="9">
        <v>67.59</v>
      </c>
      <c r="G16" s="54">
        <v>61</v>
      </c>
      <c r="J16" t="s">
        <v>10</v>
      </c>
    </row>
    <row r="17" spans="1:11" ht="30" x14ac:dyDescent="0.25">
      <c r="A17" s="1" t="s">
        <v>69</v>
      </c>
      <c r="B17" s="27">
        <v>3022125574</v>
      </c>
      <c r="C17" t="s">
        <v>67</v>
      </c>
      <c r="F17" s="9">
        <v>34.049999999999997</v>
      </c>
      <c r="G17" s="54">
        <v>28</v>
      </c>
      <c r="J17" t="s">
        <v>10</v>
      </c>
    </row>
    <row r="18" spans="1:11" ht="30" x14ac:dyDescent="0.25">
      <c r="A18" s="1" t="s">
        <v>68</v>
      </c>
      <c r="B18" s="27">
        <v>3022125841</v>
      </c>
      <c r="C18" t="s">
        <v>67</v>
      </c>
      <c r="F18" s="9">
        <v>44.69</v>
      </c>
      <c r="G18" s="54">
        <v>5</v>
      </c>
      <c r="J18" t="s">
        <v>10</v>
      </c>
    </row>
    <row r="19" spans="1:11" s="335" customFormat="1" x14ac:dyDescent="0.25">
      <c r="A19" s="333" t="s">
        <v>25</v>
      </c>
      <c r="B19" s="334"/>
      <c r="D19" s="336"/>
      <c r="E19" s="337"/>
      <c r="F19" s="336"/>
      <c r="G19" s="337"/>
      <c r="H19" s="336"/>
      <c r="I19" s="337"/>
      <c r="K19" s="338"/>
    </row>
    <row r="20" spans="1:11" s="2" customFormat="1" ht="30" x14ac:dyDescent="0.25">
      <c r="A20" s="13" t="s">
        <v>246</v>
      </c>
      <c r="B20" s="27">
        <v>8463322</v>
      </c>
      <c r="C20" s="2" t="s">
        <v>112</v>
      </c>
      <c r="D20" s="7">
        <v>5835.24</v>
      </c>
      <c r="E20" s="51">
        <v>85000</v>
      </c>
      <c r="F20" s="7"/>
      <c r="G20" s="51"/>
      <c r="H20" s="7"/>
      <c r="I20" s="51"/>
      <c r="J20" s="2" t="s">
        <v>33</v>
      </c>
      <c r="K20" s="13"/>
    </row>
    <row r="21" spans="1:11" s="2" customFormat="1" ht="30" x14ac:dyDescent="0.25">
      <c r="A21" s="13" t="s">
        <v>113</v>
      </c>
      <c r="B21" s="27">
        <v>5089282</v>
      </c>
      <c r="C21" s="2" t="s">
        <v>112</v>
      </c>
      <c r="D21" s="7">
        <v>486.03</v>
      </c>
      <c r="E21" s="51">
        <v>1500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252</v>
      </c>
      <c r="B22" s="28">
        <v>8239130</v>
      </c>
      <c r="C22" s="2" t="s">
        <v>112</v>
      </c>
      <c r="D22" s="7">
        <v>40.97</v>
      </c>
      <c r="E22" s="51">
        <v>318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114</v>
      </c>
      <c r="B23" s="27">
        <v>5089344</v>
      </c>
      <c r="C23" s="2" t="s">
        <v>112</v>
      </c>
      <c r="D23" s="7">
        <v>17.41</v>
      </c>
      <c r="E23" s="51">
        <v>34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19</v>
      </c>
      <c r="B24" s="27">
        <v>7010755</v>
      </c>
      <c r="C24" s="2" t="s">
        <v>112</v>
      </c>
      <c r="D24" s="7">
        <v>108.82</v>
      </c>
      <c r="E24" s="51">
        <v>1243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115</v>
      </c>
      <c r="B25" s="27">
        <v>9261200</v>
      </c>
      <c r="C25" s="2" t="s">
        <v>112</v>
      </c>
      <c r="D25" s="7">
        <v>116.5</v>
      </c>
      <c r="E25" s="51">
        <v>1195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116</v>
      </c>
      <c r="B26" s="27">
        <v>5105092</v>
      </c>
      <c r="C26" s="2" t="s">
        <v>112</v>
      </c>
      <c r="D26" s="7">
        <v>436.84</v>
      </c>
      <c r="E26" s="51">
        <v>4508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119</v>
      </c>
      <c r="B27" s="27">
        <v>5074402</v>
      </c>
      <c r="C27" s="2" t="s">
        <v>120</v>
      </c>
      <c r="D27" s="7">
        <v>14.6</v>
      </c>
      <c r="E27" s="51">
        <v>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248</v>
      </c>
      <c r="B28" s="27">
        <v>5264802</v>
      </c>
      <c r="C28" s="2" t="s">
        <v>120</v>
      </c>
      <c r="D28" s="7">
        <v>113.1</v>
      </c>
      <c r="E28" s="51">
        <v>770</v>
      </c>
      <c r="F28" s="7"/>
      <c r="G28" s="51"/>
      <c r="H28" s="7"/>
      <c r="I28" s="51"/>
      <c r="J28" s="2" t="s">
        <v>33</v>
      </c>
      <c r="K28" s="13"/>
    </row>
    <row r="29" spans="1:11" s="2" customFormat="1" x14ac:dyDescent="0.25">
      <c r="A29" s="13" t="s">
        <v>264</v>
      </c>
      <c r="B29" s="27">
        <v>8234139</v>
      </c>
      <c r="C29" s="2" t="s">
        <v>120</v>
      </c>
      <c r="D29" s="7">
        <v>26.9</v>
      </c>
      <c r="E29" s="51">
        <v>149</v>
      </c>
      <c r="F29" s="7"/>
      <c r="G29" s="51"/>
      <c r="H29" s="7"/>
      <c r="I29" s="51"/>
      <c r="J29" s="2" t="s">
        <v>33</v>
      </c>
      <c r="K29" s="13"/>
    </row>
    <row r="30" spans="1:11" s="2" customFormat="1" x14ac:dyDescent="0.25">
      <c r="A30" s="13" t="s">
        <v>250</v>
      </c>
      <c r="B30" s="27">
        <v>5074495</v>
      </c>
      <c r="C30" s="2" t="s">
        <v>120</v>
      </c>
      <c r="D30" s="7">
        <v>14.6</v>
      </c>
      <c r="E30" s="51">
        <v>0</v>
      </c>
      <c r="F30" s="7"/>
      <c r="G30" s="51"/>
      <c r="H30" s="7"/>
      <c r="I30" s="51"/>
      <c r="J30" s="2" t="s">
        <v>33</v>
      </c>
      <c r="K30" s="13"/>
    </row>
    <row r="31" spans="1:11" s="2" customFormat="1" ht="45" x14ac:dyDescent="0.25">
      <c r="A31" s="13" t="s">
        <v>123</v>
      </c>
      <c r="B31" s="27">
        <v>5036644</v>
      </c>
      <c r="C31" s="2" t="s">
        <v>124</v>
      </c>
      <c r="D31" s="7">
        <v>167.31</v>
      </c>
      <c r="E31" s="51">
        <v>390</v>
      </c>
      <c r="F31" s="7"/>
      <c r="G31" s="51"/>
      <c r="H31" s="7"/>
      <c r="I31" s="51"/>
      <c r="J31" s="2" t="s">
        <v>33</v>
      </c>
      <c r="K31" s="13"/>
    </row>
    <row r="32" spans="1:11" s="2" customFormat="1" ht="30" x14ac:dyDescent="0.25">
      <c r="A32" s="13" t="s">
        <v>127</v>
      </c>
      <c r="B32" s="27">
        <v>5020429</v>
      </c>
      <c r="C32" s="2" t="s">
        <v>124</v>
      </c>
      <c r="D32" s="7">
        <v>22.32</v>
      </c>
      <c r="E32" s="51">
        <v>150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125</v>
      </c>
      <c r="B33" s="27">
        <v>6722734</v>
      </c>
      <c r="C33" s="2" t="s">
        <v>124</v>
      </c>
      <c r="D33" s="7">
        <v>202.5</v>
      </c>
      <c r="E33" s="51">
        <v>641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126</v>
      </c>
      <c r="B34" s="29">
        <v>5037202</v>
      </c>
      <c r="C34" s="2" t="s">
        <v>124</v>
      </c>
      <c r="D34" s="7">
        <v>172.11</v>
      </c>
      <c r="E34" s="51">
        <v>1919</v>
      </c>
      <c r="F34" s="7"/>
      <c r="G34" s="51"/>
      <c r="H34" s="7"/>
      <c r="I34" s="51"/>
      <c r="J34" s="2" t="s">
        <v>33</v>
      </c>
      <c r="K34" s="13"/>
    </row>
    <row r="35" spans="1:11" s="2" customFormat="1" ht="30" x14ac:dyDescent="0.25">
      <c r="A35" s="13" t="s">
        <v>128</v>
      </c>
      <c r="B35" s="27">
        <v>5037326</v>
      </c>
      <c r="C35" s="2" t="s">
        <v>124</v>
      </c>
      <c r="D35" s="7">
        <v>65.150000000000006</v>
      </c>
      <c r="E35" s="51">
        <v>618</v>
      </c>
      <c r="F35" s="7"/>
      <c r="G35" s="51"/>
      <c r="H35" s="7"/>
      <c r="I35" s="51"/>
      <c r="J35" s="2" t="s">
        <v>33</v>
      </c>
      <c r="K35" s="13"/>
    </row>
    <row r="36" spans="1:11" s="2" customFormat="1" x14ac:dyDescent="0.25">
      <c r="A36" s="13" t="s">
        <v>37</v>
      </c>
      <c r="B36" s="27">
        <v>5064854</v>
      </c>
      <c r="C36" s="2" t="s">
        <v>124</v>
      </c>
      <c r="D36" s="7">
        <v>677.37</v>
      </c>
      <c r="E36" s="51">
        <v>7200</v>
      </c>
      <c r="F36" s="7"/>
      <c r="G36" s="51"/>
      <c r="H36" s="7"/>
      <c r="I36" s="51"/>
      <c r="J36" s="2" t="s">
        <v>33</v>
      </c>
      <c r="K36" s="13"/>
    </row>
    <row r="37" spans="1:11" s="2" customFormat="1" ht="30" x14ac:dyDescent="0.25">
      <c r="A37" s="13" t="s">
        <v>32</v>
      </c>
      <c r="B37" s="27">
        <v>5021826</v>
      </c>
      <c r="C37" s="2" t="s">
        <v>124</v>
      </c>
      <c r="D37" s="7">
        <v>35.65</v>
      </c>
      <c r="E37" s="51">
        <v>251</v>
      </c>
      <c r="F37" s="7"/>
      <c r="G37" s="51"/>
      <c r="H37" s="7"/>
      <c r="I37" s="51"/>
      <c r="J37" s="2" t="s">
        <v>33</v>
      </c>
      <c r="K37" s="13"/>
    </row>
    <row r="38" spans="1:11" s="2" customFormat="1" ht="45" x14ac:dyDescent="0.25">
      <c r="A38" s="13" t="s">
        <v>129</v>
      </c>
      <c r="B38" s="27">
        <v>4964784</v>
      </c>
      <c r="C38" s="2" t="s">
        <v>124</v>
      </c>
      <c r="D38" s="7">
        <v>22.76</v>
      </c>
      <c r="E38" s="51">
        <v>150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254</v>
      </c>
      <c r="B39" s="27">
        <v>4955887</v>
      </c>
      <c r="C39" s="2" t="s">
        <v>267</v>
      </c>
      <c r="D39" s="7">
        <v>25.83</v>
      </c>
      <c r="E39" s="51">
        <v>140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64</v>
      </c>
      <c r="B40" s="27">
        <v>4932391</v>
      </c>
      <c r="C40" s="2" t="s">
        <v>267</v>
      </c>
      <c r="D40" s="7">
        <v>290.37</v>
      </c>
      <c r="E40" s="51">
        <v>2372</v>
      </c>
      <c r="F40" s="7"/>
      <c r="G40" s="51"/>
      <c r="H40" s="7"/>
      <c r="I40" s="51"/>
      <c r="J40" s="2" t="s">
        <v>33</v>
      </c>
      <c r="K40" s="13"/>
    </row>
    <row r="41" spans="1:11" s="2" customFormat="1" ht="30" x14ac:dyDescent="0.25">
      <c r="A41" s="13" t="s">
        <v>28</v>
      </c>
      <c r="B41" s="27">
        <v>5265050</v>
      </c>
      <c r="C41" s="2" t="s">
        <v>268</v>
      </c>
      <c r="D41" s="7">
        <v>22.75</v>
      </c>
      <c r="E41" s="51">
        <v>150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29</v>
      </c>
      <c r="B42" s="27">
        <v>5265019</v>
      </c>
      <c r="C42" s="2" t="s">
        <v>268</v>
      </c>
      <c r="D42" s="7">
        <v>16.12</v>
      </c>
      <c r="E42" s="51">
        <v>70</v>
      </c>
      <c r="F42" s="7"/>
      <c r="G42" s="51"/>
      <c r="H42" s="7"/>
      <c r="I42" s="51"/>
      <c r="J42" s="2" t="s">
        <v>33</v>
      </c>
      <c r="K42" s="13"/>
    </row>
    <row r="43" spans="1:11" s="2" customFormat="1" ht="30" x14ac:dyDescent="0.25">
      <c r="A43" s="13" t="s">
        <v>243</v>
      </c>
      <c r="B43" s="27">
        <v>4426005</v>
      </c>
      <c r="C43" s="2" t="s">
        <v>268</v>
      </c>
      <c r="D43" s="7">
        <v>1348.69</v>
      </c>
      <c r="E43" s="51">
        <v>11850</v>
      </c>
      <c r="F43" s="7"/>
      <c r="G43" s="51"/>
      <c r="H43" s="7"/>
      <c r="I43" s="51"/>
      <c r="J43" s="2" t="s">
        <v>33</v>
      </c>
      <c r="K43" s="13"/>
    </row>
    <row r="44" spans="1:11" s="2" customFormat="1" ht="30" x14ac:dyDescent="0.25">
      <c r="A44" s="13" t="s">
        <v>22</v>
      </c>
      <c r="B44" s="27">
        <v>5264554</v>
      </c>
      <c r="C44" s="2" t="s">
        <v>268</v>
      </c>
      <c r="D44" s="7">
        <v>25.82</v>
      </c>
      <c r="E44" s="51">
        <v>140</v>
      </c>
      <c r="F44" s="7"/>
      <c r="G44" s="51"/>
      <c r="H44" s="7"/>
      <c r="I44" s="51"/>
      <c r="J44" s="2" t="s">
        <v>33</v>
      </c>
      <c r="K44" s="13"/>
    </row>
    <row r="45" spans="1:11" s="2" customFormat="1" ht="30" x14ac:dyDescent="0.25">
      <c r="A45" s="13" t="s">
        <v>241</v>
      </c>
      <c r="B45" s="27">
        <v>4912148</v>
      </c>
      <c r="C45" s="2" t="s">
        <v>268</v>
      </c>
      <c r="D45" s="7">
        <v>301.08999999999997</v>
      </c>
      <c r="E45" s="51">
        <v>1260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242</v>
      </c>
      <c r="B46" s="27">
        <v>4426036</v>
      </c>
      <c r="C46" s="2" t="s">
        <v>268</v>
      </c>
      <c r="D46" s="7">
        <v>366.07</v>
      </c>
      <c r="E46" s="51">
        <v>2100</v>
      </c>
      <c r="F46" s="7"/>
      <c r="G46" s="51"/>
      <c r="H46" s="7"/>
      <c r="I46" s="51"/>
      <c r="J46" s="2" t="s">
        <v>33</v>
      </c>
      <c r="K46" s="13"/>
    </row>
    <row r="47" spans="1:11" s="2" customFormat="1" x14ac:dyDescent="0.25">
      <c r="A47" s="13" t="s">
        <v>34</v>
      </c>
      <c r="B47" s="27">
        <v>5028615</v>
      </c>
      <c r="C47" s="2" t="s">
        <v>268</v>
      </c>
      <c r="D47" s="7">
        <v>1020.36</v>
      </c>
      <c r="E47" s="51">
        <v>9320</v>
      </c>
      <c r="F47" s="7"/>
      <c r="G47" s="51"/>
      <c r="H47" s="7"/>
      <c r="I47" s="51"/>
      <c r="J47" s="2" t="s">
        <v>33</v>
      </c>
      <c r="K47" s="13"/>
    </row>
    <row r="48" spans="1:11" s="2" customFormat="1" ht="30" x14ac:dyDescent="0.25">
      <c r="A48" s="13" t="s">
        <v>47</v>
      </c>
      <c r="B48" s="27">
        <v>4914628</v>
      </c>
      <c r="C48" s="2" t="s">
        <v>268</v>
      </c>
      <c r="D48" s="7">
        <v>665.99</v>
      </c>
      <c r="E48" s="51">
        <v>6289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46</v>
      </c>
      <c r="B49" s="27">
        <v>5027654</v>
      </c>
      <c r="C49" s="2" t="s">
        <v>268</v>
      </c>
      <c r="D49" s="7">
        <v>313.26</v>
      </c>
      <c r="E49" s="51">
        <v>2961</v>
      </c>
      <c r="F49" s="7"/>
      <c r="G49" s="51"/>
      <c r="H49" s="7"/>
      <c r="I49" s="51"/>
      <c r="J49" s="2" t="s">
        <v>33</v>
      </c>
      <c r="K49" s="13"/>
    </row>
    <row r="50" spans="1:11" s="2" customFormat="1" ht="30" x14ac:dyDescent="0.25">
      <c r="A50" s="13" t="s">
        <v>48</v>
      </c>
      <c r="B50" s="27">
        <v>5262911</v>
      </c>
      <c r="C50" s="2" t="s">
        <v>268</v>
      </c>
      <c r="D50" s="7">
        <v>16.12</v>
      </c>
      <c r="E50" s="51">
        <v>70</v>
      </c>
      <c r="F50" s="7"/>
      <c r="G50" s="51"/>
      <c r="H50" s="7"/>
      <c r="I50" s="51"/>
      <c r="J50" s="2" t="s">
        <v>33</v>
      </c>
      <c r="K50" s="13"/>
    </row>
    <row r="51" spans="1:11" s="2" customFormat="1" ht="30" x14ac:dyDescent="0.25">
      <c r="A51" s="13" t="s">
        <v>244</v>
      </c>
      <c r="B51" s="27">
        <v>8184322</v>
      </c>
      <c r="C51" s="2" t="s">
        <v>268</v>
      </c>
      <c r="D51" s="7">
        <v>516.97</v>
      </c>
      <c r="E51" s="51">
        <v>2960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38</v>
      </c>
      <c r="B52" s="27">
        <v>5231911</v>
      </c>
      <c r="C52" s="2" t="s">
        <v>268</v>
      </c>
      <c r="D52" s="7">
        <v>22.75</v>
      </c>
      <c r="E52" s="51">
        <v>150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17</v>
      </c>
      <c r="B53" s="27">
        <v>8934894</v>
      </c>
      <c r="C53" s="2" t="s">
        <v>268</v>
      </c>
      <c r="D53" s="7">
        <v>15.2</v>
      </c>
      <c r="E53" s="51">
        <v>7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240</v>
      </c>
      <c r="B54" s="27">
        <v>5031405</v>
      </c>
      <c r="C54" s="2" t="s">
        <v>268</v>
      </c>
      <c r="D54" s="7">
        <v>1534.48</v>
      </c>
      <c r="E54" s="51">
        <v>15900</v>
      </c>
      <c r="F54" s="7"/>
      <c r="G54" s="51"/>
      <c r="H54" s="7"/>
      <c r="I54" s="51"/>
      <c r="J54" s="2" t="s">
        <v>33</v>
      </c>
      <c r="K54" s="13"/>
    </row>
    <row r="55" spans="1:11" s="2" customFormat="1" ht="30" x14ac:dyDescent="0.25">
      <c r="A55" s="13" t="s">
        <v>26</v>
      </c>
      <c r="B55" s="27">
        <v>149091</v>
      </c>
      <c r="C55" s="2" t="s">
        <v>268</v>
      </c>
      <c r="D55" s="7">
        <v>18.88</v>
      </c>
      <c r="E55" s="51">
        <v>80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30</v>
      </c>
      <c r="B56" s="27">
        <v>4914473</v>
      </c>
      <c r="C56" s="2" t="s">
        <v>268</v>
      </c>
      <c r="D56" s="7">
        <v>1352.92</v>
      </c>
      <c r="E56" s="51">
        <v>16920</v>
      </c>
      <c r="F56" s="7"/>
      <c r="G56" s="51"/>
      <c r="H56" s="7"/>
      <c r="I56" s="51"/>
      <c r="J56" s="2" t="s">
        <v>33</v>
      </c>
      <c r="K56" s="13"/>
    </row>
    <row r="57" spans="1:11" s="2" customFormat="1" ht="30" x14ac:dyDescent="0.25">
      <c r="A57" s="13" t="s">
        <v>244</v>
      </c>
      <c r="B57" s="27">
        <v>117936</v>
      </c>
      <c r="C57" s="2" t="s">
        <v>268</v>
      </c>
      <c r="D57" s="7">
        <v>135.83000000000001</v>
      </c>
      <c r="E57" s="51">
        <v>440</v>
      </c>
      <c r="F57" s="7"/>
      <c r="G57" s="51"/>
      <c r="H57" s="7"/>
      <c r="I57" s="51"/>
      <c r="J57" s="2" t="s">
        <v>33</v>
      </c>
      <c r="K57" s="13"/>
    </row>
    <row r="58" spans="1:11" s="2" customFormat="1" ht="45" x14ac:dyDescent="0.25">
      <c r="A58" s="13" t="s">
        <v>153</v>
      </c>
      <c r="B58" s="27">
        <v>8327232</v>
      </c>
      <c r="C58" s="2" t="s">
        <v>267</v>
      </c>
      <c r="D58" s="7">
        <v>47.53</v>
      </c>
      <c r="E58" s="51">
        <v>0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255</v>
      </c>
      <c r="B59" s="27">
        <v>6973803</v>
      </c>
      <c r="C59" s="2" t="s">
        <v>267</v>
      </c>
      <c r="D59" s="7">
        <v>14.6</v>
      </c>
      <c r="E59" s="51">
        <v>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150</v>
      </c>
      <c r="B60" s="27">
        <v>7480591</v>
      </c>
      <c r="C60" s="2" t="s">
        <v>267</v>
      </c>
      <c r="D60" s="7">
        <v>1067.18</v>
      </c>
      <c r="E60" s="51">
        <v>12026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253</v>
      </c>
      <c r="B61" s="27">
        <v>4934809</v>
      </c>
      <c r="C61" s="2" t="s">
        <v>267</v>
      </c>
      <c r="D61" s="7">
        <v>24.75</v>
      </c>
      <c r="E61" s="51">
        <v>120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152</v>
      </c>
      <c r="B62" s="27">
        <v>9498071</v>
      </c>
      <c r="C62" s="2" t="s">
        <v>267</v>
      </c>
      <c r="D62" s="7">
        <v>172.94</v>
      </c>
      <c r="E62" s="51">
        <v>160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245</v>
      </c>
      <c r="B63" s="27">
        <v>4962800</v>
      </c>
      <c r="C63" s="2" t="s">
        <v>267</v>
      </c>
      <c r="D63" s="7">
        <v>27.42</v>
      </c>
      <c r="E63" s="51">
        <v>160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151</v>
      </c>
      <c r="B64" s="27">
        <v>710315</v>
      </c>
      <c r="C64" s="2" t="s">
        <v>267</v>
      </c>
      <c r="D64" s="7">
        <v>14.6</v>
      </c>
      <c r="E64" s="51">
        <v>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24</v>
      </c>
      <c r="B65" s="27">
        <v>4892432</v>
      </c>
      <c r="C65" s="2" t="s">
        <v>269</v>
      </c>
      <c r="D65" s="7">
        <v>151.79</v>
      </c>
      <c r="E65" s="51">
        <v>995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21</v>
      </c>
      <c r="B66" s="27">
        <v>4968878</v>
      </c>
      <c r="C66" s="2" t="s">
        <v>269</v>
      </c>
      <c r="D66" s="7">
        <v>52.21</v>
      </c>
      <c r="E66" s="51">
        <v>453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31</v>
      </c>
      <c r="B67" s="27">
        <v>5041139</v>
      </c>
      <c r="C67" s="2" t="s">
        <v>269</v>
      </c>
      <c r="D67" s="7">
        <v>47.47</v>
      </c>
      <c r="E67" s="51">
        <v>396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256</v>
      </c>
      <c r="B68" s="27">
        <v>5276024</v>
      </c>
      <c r="C68" s="2" t="s">
        <v>269</v>
      </c>
      <c r="D68" s="7">
        <v>22.76</v>
      </c>
      <c r="E68" s="51">
        <v>150</v>
      </c>
      <c r="F68" s="7"/>
      <c r="G68" s="51"/>
      <c r="H68" s="7"/>
      <c r="I68" s="51"/>
      <c r="J68" s="2" t="s">
        <v>33</v>
      </c>
      <c r="K68" s="13"/>
    </row>
    <row r="69" spans="1:11" s="2" customFormat="1" x14ac:dyDescent="0.25">
      <c r="A69" s="13" t="s">
        <v>250</v>
      </c>
      <c r="B69" s="27">
        <v>7391</v>
      </c>
      <c r="C69" s="2" t="s">
        <v>296</v>
      </c>
      <c r="D69" s="7">
        <v>58.72</v>
      </c>
      <c r="E69" s="51">
        <v>84</v>
      </c>
      <c r="F69" s="7"/>
      <c r="G69" s="51"/>
      <c r="H69" s="7"/>
      <c r="I69" s="51"/>
      <c r="J69" s="2" t="s">
        <v>33</v>
      </c>
      <c r="K69" s="13"/>
    </row>
    <row r="70" spans="1:11" s="2" customFormat="1" x14ac:dyDescent="0.25">
      <c r="A70" s="13" t="s">
        <v>250</v>
      </c>
      <c r="B70" s="27">
        <v>7422</v>
      </c>
      <c r="C70" s="2" t="s">
        <v>296</v>
      </c>
      <c r="D70" s="7">
        <v>66.8</v>
      </c>
      <c r="E70" s="51">
        <v>240</v>
      </c>
      <c r="F70" s="7"/>
      <c r="G70" s="51"/>
      <c r="H70" s="7"/>
      <c r="I70" s="51"/>
      <c r="J70" s="2" t="s">
        <v>33</v>
      </c>
      <c r="K70" s="13"/>
    </row>
    <row r="71" spans="1:11" s="335" customFormat="1" ht="30" x14ac:dyDescent="0.25">
      <c r="A71" s="333" t="s">
        <v>39</v>
      </c>
      <c r="B71" s="334"/>
      <c r="D71" s="336"/>
      <c r="E71" s="337"/>
      <c r="F71" s="336"/>
      <c r="G71" s="337"/>
      <c r="H71" s="336"/>
      <c r="I71" s="337"/>
      <c r="K71" s="338"/>
    </row>
    <row r="72" spans="1:11" s="2" customFormat="1" ht="60" x14ac:dyDescent="0.25">
      <c r="A72" s="13" t="s">
        <v>40</v>
      </c>
      <c r="B72" s="27"/>
      <c r="C72" s="2" t="s">
        <v>161</v>
      </c>
      <c r="D72" s="7"/>
      <c r="E72" s="51"/>
      <c r="F72" s="7"/>
      <c r="G72" s="51"/>
      <c r="H72" s="7">
        <v>16</v>
      </c>
      <c r="I72" s="51">
        <v>1000</v>
      </c>
      <c r="K72" s="13"/>
    </row>
    <row r="73" spans="1:11" s="335" customFormat="1" ht="45" x14ac:dyDescent="0.25">
      <c r="A73" s="333" t="s">
        <v>49</v>
      </c>
      <c r="B73" s="334"/>
      <c r="D73" s="336"/>
      <c r="E73" s="337"/>
      <c r="F73" s="336"/>
      <c r="G73" s="337"/>
      <c r="H73" s="336"/>
      <c r="I73" s="337"/>
      <c r="K73" s="338"/>
    </row>
    <row r="74" spans="1:11" s="2" customFormat="1" ht="60" x14ac:dyDescent="0.25">
      <c r="A74" s="13" t="s">
        <v>51</v>
      </c>
      <c r="B74" s="27" t="s">
        <v>208</v>
      </c>
      <c r="C74" s="2" t="s">
        <v>50</v>
      </c>
      <c r="D74" s="7">
        <v>275</v>
      </c>
      <c r="E74" s="51">
        <v>2154</v>
      </c>
      <c r="F74" s="7"/>
      <c r="G74" s="51"/>
      <c r="H74" s="7"/>
      <c r="I74" s="51"/>
      <c r="J74" s="2" t="s">
        <v>33</v>
      </c>
      <c r="K74" s="13"/>
    </row>
    <row r="75" spans="1:11" s="2" customFormat="1" ht="60" x14ac:dyDescent="0.25">
      <c r="A75" s="13" t="s">
        <v>52</v>
      </c>
      <c r="B75" s="27" t="s">
        <v>209</v>
      </c>
      <c r="C75" s="2" t="s">
        <v>53</v>
      </c>
      <c r="D75" s="7">
        <v>165</v>
      </c>
      <c r="E75" s="51">
        <v>1285</v>
      </c>
      <c r="F75" s="7"/>
      <c r="G75" s="51"/>
      <c r="H75" s="7"/>
      <c r="I75" s="51"/>
      <c r="J75" s="2" t="s">
        <v>33</v>
      </c>
      <c r="K75" s="13"/>
    </row>
    <row r="76" spans="1:11" s="2" customFormat="1" ht="60" x14ac:dyDescent="0.25">
      <c r="A76" s="13" t="s">
        <v>54</v>
      </c>
      <c r="B76" s="27" t="s">
        <v>210</v>
      </c>
      <c r="C76" s="2" t="s">
        <v>50</v>
      </c>
      <c r="D76" s="7">
        <v>64</v>
      </c>
      <c r="E76" s="51">
        <v>322</v>
      </c>
      <c r="F76" s="7"/>
      <c r="G76" s="51"/>
      <c r="H76" s="7"/>
      <c r="I76" s="51"/>
      <c r="J76" s="2" t="s">
        <v>33</v>
      </c>
      <c r="K76" s="13"/>
    </row>
    <row r="77" spans="1:11" s="2" customFormat="1" ht="45" x14ac:dyDescent="0.25">
      <c r="A77" s="13" t="s">
        <v>55</v>
      </c>
      <c r="B77" s="27" t="s">
        <v>212</v>
      </c>
      <c r="C77" s="2" t="s">
        <v>50</v>
      </c>
      <c r="D77" s="7">
        <v>29</v>
      </c>
      <c r="E77" s="51">
        <v>100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56</v>
      </c>
      <c r="B78" s="27" t="s">
        <v>213</v>
      </c>
      <c r="C78" s="2" t="s">
        <v>50</v>
      </c>
      <c r="D78" s="7">
        <v>27</v>
      </c>
      <c r="E78" s="51">
        <v>80</v>
      </c>
      <c r="F78" s="7"/>
      <c r="G78" s="51"/>
      <c r="H78" s="7"/>
      <c r="I78" s="51"/>
      <c r="J78" s="2" t="s">
        <v>33</v>
      </c>
      <c r="K78" s="13"/>
    </row>
    <row r="79" spans="1:11" s="2" customFormat="1" ht="45" x14ac:dyDescent="0.25">
      <c r="A79" s="13" t="s">
        <v>57</v>
      </c>
      <c r="B79" s="27" t="s">
        <v>214</v>
      </c>
      <c r="C79" s="2" t="s">
        <v>50</v>
      </c>
      <c r="D79" s="7">
        <v>276</v>
      </c>
      <c r="E79" s="51">
        <v>2341</v>
      </c>
      <c r="F79" s="7"/>
      <c r="G79" s="51"/>
      <c r="H79" s="7"/>
      <c r="I79" s="51"/>
      <c r="J79" s="2" t="s">
        <v>33</v>
      </c>
      <c r="K79" s="13"/>
    </row>
    <row r="80" spans="1:11" s="2" customFormat="1" ht="45" x14ac:dyDescent="0.25">
      <c r="A80" s="13" t="s">
        <v>58</v>
      </c>
      <c r="B80" s="27" t="s">
        <v>215</v>
      </c>
      <c r="C80" s="2" t="s">
        <v>50</v>
      </c>
      <c r="D80" s="7">
        <v>85</v>
      </c>
      <c r="E80" s="51">
        <v>632</v>
      </c>
      <c r="F80" s="7"/>
      <c r="G80" s="51"/>
      <c r="H80" s="7"/>
      <c r="I80" s="51"/>
      <c r="J80" s="2" t="s">
        <v>33</v>
      </c>
      <c r="K80" s="13"/>
    </row>
    <row r="81" spans="1:11" s="2" customFormat="1" ht="45" x14ac:dyDescent="0.25">
      <c r="A81" s="13" t="s">
        <v>59</v>
      </c>
      <c r="B81" s="27" t="s">
        <v>216</v>
      </c>
      <c r="C81" s="2" t="s">
        <v>50</v>
      </c>
      <c r="D81" s="7">
        <v>48</v>
      </c>
      <c r="E81" s="51">
        <v>275</v>
      </c>
      <c r="F81" s="7"/>
      <c r="G81" s="51"/>
      <c r="H81" s="7"/>
      <c r="I81" s="51"/>
      <c r="J81" s="2" t="s">
        <v>33</v>
      </c>
      <c r="K81" s="13"/>
    </row>
    <row r="82" spans="1:11" s="2" customFormat="1" ht="45" x14ac:dyDescent="0.25">
      <c r="A82" s="13" t="s">
        <v>60</v>
      </c>
      <c r="B82" s="27" t="s">
        <v>217</v>
      </c>
      <c r="C82" s="2" t="s">
        <v>50</v>
      </c>
      <c r="D82" s="7">
        <v>41</v>
      </c>
      <c r="E82" s="51">
        <v>96</v>
      </c>
      <c r="F82" s="7"/>
      <c r="G82" s="51"/>
      <c r="H82" s="7"/>
      <c r="I82" s="51"/>
      <c r="J82" s="2" t="s">
        <v>33</v>
      </c>
      <c r="K82" s="13"/>
    </row>
    <row r="83" spans="1:11" s="2" customFormat="1" ht="30" x14ac:dyDescent="0.25">
      <c r="A83" s="13" t="s">
        <v>61</v>
      </c>
      <c r="B83" s="27" t="s">
        <v>218</v>
      </c>
      <c r="C83" s="2" t="s">
        <v>50</v>
      </c>
      <c r="D83" s="7">
        <v>19</v>
      </c>
      <c r="E83" s="51">
        <v>3</v>
      </c>
      <c r="F83" s="7"/>
      <c r="G83" s="51"/>
      <c r="H83" s="7"/>
      <c r="I83" s="51"/>
      <c r="J83" s="2" t="s">
        <v>33</v>
      </c>
      <c r="K83" s="13"/>
    </row>
    <row r="84" spans="1:11" s="2" customFormat="1" ht="30" x14ac:dyDescent="0.25">
      <c r="A84" s="13" t="s">
        <v>62</v>
      </c>
      <c r="B84" s="27" t="s">
        <v>219</v>
      </c>
      <c r="C84" s="2" t="s">
        <v>50</v>
      </c>
      <c r="D84" s="7">
        <v>20</v>
      </c>
      <c r="E84" s="51">
        <v>14</v>
      </c>
      <c r="F84" s="7"/>
      <c r="G84" s="51"/>
      <c r="H84" s="7"/>
      <c r="I84" s="51"/>
      <c r="J84" s="2" t="s">
        <v>33</v>
      </c>
      <c r="K84" s="13"/>
    </row>
    <row r="85" spans="1:11" s="2" customFormat="1" ht="30" x14ac:dyDescent="0.25">
      <c r="A85" s="13" t="s">
        <v>94</v>
      </c>
      <c r="B85" s="27" t="s">
        <v>201</v>
      </c>
      <c r="C85" s="2" t="s">
        <v>50</v>
      </c>
      <c r="D85" s="7">
        <v>57</v>
      </c>
      <c r="E85" s="51">
        <v>173</v>
      </c>
      <c r="F85" s="7"/>
      <c r="G85" s="51"/>
      <c r="H85" s="7"/>
      <c r="I85" s="51"/>
      <c r="J85" s="2" t="s">
        <v>33</v>
      </c>
      <c r="K85" s="13"/>
    </row>
    <row r="86" spans="1:11" s="2" customFormat="1" ht="30" x14ac:dyDescent="0.25">
      <c r="A86" s="13" t="s">
        <v>95</v>
      </c>
      <c r="B86" s="27" t="s">
        <v>202</v>
      </c>
      <c r="C86" s="2" t="s">
        <v>50</v>
      </c>
      <c r="D86" s="7">
        <v>1785</v>
      </c>
      <c r="E86" s="51">
        <v>13440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96</v>
      </c>
      <c r="B87" s="27" t="s">
        <v>203</v>
      </c>
      <c r="C87" s="2" t="s">
        <v>50</v>
      </c>
      <c r="D87" s="7">
        <v>42</v>
      </c>
      <c r="E87" s="51">
        <v>134</v>
      </c>
      <c r="F87" s="7"/>
      <c r="G87" s="51"/>
      <c r="H87" s="7"/>
      <c r="I87" s="51"/>
      <c r="J87" s="2" t="s">
        <v>33</v>
      </c>
      <c r="K87" s="13"/>
    </row>
    <row r="88" spans="1:11" s="2" customFormat="1" ht="45" x14ac:dyDescent="0.25">
      <c r="A88" s="13" t="s">
        <v>97</v>
      </c>
      <c r="B88" s="27" t="s">
        <v>204</v>
      </c>
      <c r="C88" s="2" t="s">
        <v>50</v>
      </c>
      <c r="D88" s="7">
        <v>39</v>
      </c>
      <c r="E88" s="51">
        <v>13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98</v>
      </c>
      <c r="B89" s="27" t="s">
        <v>205</v>
      </c>
      <c r="C89" s="2" t="s">
        <v>50</v>
      </c>
      <c r="D89" s="7">
        <v>20</v>
      </c>
      <c r="E89" s="51">
        <v>10</v>
      </c>
      <c r="F89" s="7"/>
      <c r="G89" s="51"/>
      <c r="H89" s="7"/>
      <c r="I89" s="51"/>
      <c r="J89" s="2" t="s">
        <v>33</v>
      </c>
      <c r="K89" s="13"/>
    </row>
    <row r="90" spans="1:11" s="2" customFormat="1" ht="30" x14ac:dyDescent="0.25">
      <c r="A90" s="13" t="s">
        <v>99</v>
      </c>
      <c r="B90" s="27" t="s">
        <v>206</v>
      </c>
      <c r="C90" s="2" t="s">
        <v>50</v>
      </c>
      <c r="D90" s="7">
        <v>30</v>
      </c>
      <c r="E90" s="51">
        <v>20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100</v>
      </c>
      <c r="B91" s="30">
        <v>1323346600</v>
      </c>
      <c r="C91" s="2" t="s">
        <v>50</v>
      </c>
      <c r="D91" s="7">
        <v>348</v>
      </c>
      <c r="E91" s="51">
        <v>2700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101</v>
      </c>
      <c r="B92" s="30">
        <v>1322699400</v>
      </c>
      <c r="C92" s="2" t="s">
        <v>50</v>
      </c>
      <c r="D92" s="7">
        <v>1257</v>
      </c>
      <c r="E92" s="51">
        <v>3960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102</v>
      </c>
      <c r="B93" s="27" t="s">
        <v>200</v>
      </c>
      <c r="C93" s="2" t="s">
        <v>50</v>
      </c>
      <c r="D93" s="7">
        <v>440</v>
      </c>
      <c r="E93" s="51">
        <v>2312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110</v>
      </c>
      <c r="B94" s="27" t="s">
        <v>207</v>
      </c>
      <c r="C94" s="2" t="s">
        <v>50</v>
      </c>
      <c r="D94" s="7">
        <v>93</v>
      </c>
      <c r="E94" s="51">
        <v>243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111</v>
      </c>
      <c r="B95" s="27" t="s">
        <v>222</v>
      </c>
      <c r="C95" s="2" t="s">
        <v>50</v>
      </c>
      <c r="D95" s="7">
        <v>30</v>
      </c>
      <c r="E95" s="51">
        <v>0</v>
      </c>
      <c r="F95" s="7"/>
      <c r="G95" s="51"/>
      <c r="H95" s="7"/>
      <c r="I95" s="51"/>
      <c r="J95" s="2" t="s">
        <v>33</v>
      </c>
      <c r="K95" s="13"/>
    </row>
    <row r="96" spans="1:11" s="2" customFormat="1" ht="30" x14ac:dyDescent="0.25">
      <c r="A96" s="13" t="s">
        <v>117</v>
      </c>
      <c r="B96" s="27" t="s">
        <v>220</v>
      </c>
      <c r="C96" s="2" t="s">
        <v>50</v>
      </c>
      <c r="D96" s="7">
        <v>84</v>
      </c>
      <c r="E96" s="51">
        <v>442</v>
      </c>
      <c r="F96" s="7"/>
      <c r="G96" s="51"/>
      <c r="H96" s="7"/>
      <c r="I96" s="51"/>
      <c r="J96" s="2" t="s">
        <v>33</v>
      </c>
      <c r="K96" s="13"/>
    </row>
    <row r="97" spans="1:11" s="2" customFormat="1" ht="30" x14ac:dyDescent="0.25">
      <c r="A97" s="13" t="s">
        <v>118</v>
      </c>
      <c r="B97" s="27" t="s">
        <v>221</v>
      </c>
      <c r="C97" s="2" t="s">
        <v>50</v>
      </c>
      <c r="D97" s="7">
        <v>36</v>
      </c>
      <c r="E97" s="51">
        <v>167</v>
      </c>
      <c r="F97" s="7"/>
      <c r="G97" s="51"/>
      <c r="H97" s="7"/>
      <c r="I97" s="51"/>
      <c r="J97" s="2" t="s">
        <v>33</v>
      </c>
      <c r="K97" s="13"/>
    </row>
    <row r="98" spans="1:11" s="2" customFormat="1" x14ac:dyDescent="0.25">
      <c r="A98" s="20" t="s">
        <v>70</v>
      </c>
      <c r="B98" s="27"/>
      <c r="D98" s="7"/>
      <c r="E98" s="51"/>
      <c r="F98" s="7"/>
      <c r="G98" s="51"/>
      <c r="H98" s="7"/>
      <c r="I98" s="51"/>
      <c r="K98" s="13"/>
    </row>
    <row r="99" spans="1:11" s="2" customFormat="1" ht="30" x14ac:dyDescent="0.25">
      <c r="A99" s="13" t="s">
        <v>65</v>
      </c>
      <c r="B99" s="27" t="s">
        <v>163</v>
      </c>
      <c r="C99" s="2" t="s">
        <v>50</v>
      </c>
      <c r="D99" s="7"/>
      <c r="E99" s="51"/>
      <c r="F99" s="7"/>
      <c r="G99" s="51"/>
      <c r="H99" s="7">
        <v>225.9</v>
      </c>
      <c r="I99" s="51">
        <v>251</v>
      </c>
      <c r="K99" s="13"/>
    </row>
    <row r="100" spans="1:11" s="2" customFormat="1" x14ac:dyDescent="0.25">
      <c r="A100" s="13" t="s">
        <v>37</v>
      </c>
      <c r="B100" s="27" t="s">
        <v>190</v>
      </c>
      <c r="C100" s="2" t="s">
        <v>50</v>
      </c>
      <c r="D100" s="7"/>
      <c r="E100" s="51"/>
      <c r="F100" s="7"/>
      <c r="G100" s="51"/>
      <c r="H100" s="7">
        <v>58.47</v>
      </c>
      <c r="I100" s="51">
        <v>34</v>
      </c>
      <c r="K100" s="13"/>
    </row>
    <row r="101" spans="1:11" s="2" customFormat="1" ht="30" x14ac:dyDescent="0.25">
      <c r="A101" s="13" t="s">
        <v>71</v>
      </c>
      <c r="B101" s="27" t="s">
        <v>188</v>
      </c>
      <c r="C101" s="2" t="s">
        <v>50</v>
      </c>
      <c r="D101" s="7"/>
      <c r="E101" s="51"/>
      <c r="F101" s="7"/>
      <c r="G101" s="51"/>
      <c r="H101" s="7">
        <v>47.7</v>
      </c>
      <c r="I101" s="51">
        <v>22</v>
      </c>
      <c r="K101" s="13"/>
    </row>
    <row r="102" spans="1:11" s="2" customFormat="1" ht="30" x14ac:dyDescent="0.25">
      <c r="A102" s="13" t="s">
        <v>72</v>
      </c>
      <c r="B102" s="27" t="s">
        <v>187</v>
      </c>
      <c r="C102" s="2" t="s">
        <v>50</v>
      </c>
      <c r="D102" s="7"/>
      <c r="E102" s="51"/>
      <c r="F102" s="7"/>
      <c r="G102" s="51"/>
      <c r="H102" s="7">
        <v>62.7</v>
      </c>
      <c r="I102" s="51">
        <v>56</v>
      </c>
      <c r="K102" s="13"/>
    </row>
    <row r="103" spans="1:11" s="2" customFormat="1" ht="30" x14ac:dyDescent="0.25">
      <c r="A103" s="13" t="s">
        <v>73</v>
      </c>
      <c r="B103" s="27" t="s">
        <v>171</v>
      </c>
      <c r="C103" s="2" t="s">
        <v>50</v>
      </c>
      <c r="D103" s="7"/>
      <c r="E103" s="51"/>
      <c r="F103" s="7"/>
      <c r="G103" s="51"/>
      <c r="H103" s="7">
        <v>86.83</v>
      </c>
      <c r="I103" s="51">
        <v>98</v>
      </c>
      <c r="K103" s="13"/>
    </row>
    <row r="104" spans="1:11" s="2" customFormat="1" ht="30" x14ac:dyDescent="0.25">
      <c r="A104" s="13" t="s">
        <v>74</v>
      </c>
      <c r="B104" s="27" t="s">
        <v>170</v>
      </c>
      <c r="C104" s="2" t="s">
        <v>50</v>
      </c>
      <c r="D104" s="7"/>
      <c r="E104" s="51"/>
      <c r="F104" s="7"/>
      <c r="G104" s="51"/>
      <c r="H104" s="7">
        <v>43.48</v>
      </c>
      <c r="I104" s="51">
        <v>0</v>
      </c>
      <c r="K104" s="13"/>
    </row>
    <row r="105" spans="1:11" s="2" customFormat="1" ht="30" x14ac:dyDescent="0.25">
      <c r="A105" s="13" t="s">
        <v>75</v>
      </c>
      <c r="B105" s="27" t="s">
        <v>189</v>
      </c>
      <c r="C105" s="2" t="s">
        <v>50</v>
      </c>
      <c r="D105" s="7"/>
      <c r="E105" s="51"/>
      <c r="F105" s="7"/>
      <c r="G105" s="51"/>
      <c r="H105" s="7">
        <v>274.95</v>
      </c>
      <c r="I105" s="51">
        <v>108</v>
      </c>
      <c r="K105" s="13"/>
    </row>
    <row r="106" spans="1:11" s="2" customFormat="1" ht="30" x14ac:dyDescent="0.25">
      <c r="A106" s="13" t="s">
        <v>76</v>
      </c>
      <c r="B106" s="27" t="s">
        <v>169</v>
      </c>
      <c r="C106" s="2" t="s">
        <v>50</v>
      </c>
      <c r="D106" s="7"/>
      <c r="E106" s="51"/>
      <c r="F106" s="7"/>
      <c r="G106" s="51"/>
      <c r="H106" s="7">
        <v>28.16</v>
      </c>
      <c r="I106" s="51">
        <v>0</v>
      </c>
      <c r="K106" s="13"/>
    </row>
    <row r="107" spans="1:11" s="2" customFormat="1" ht="30" x14ac:dyDescent="0.25">
      <c r="A107" s="13" t="s">
        <v>77</v>
      </c>
      <c r="B107" s="27" t="s">
        <v>168</v>
      </c>
      <c r="C107" s="2" t="s">
        <v>50</v>
      </c>
      <c r="D107" s="7"/>
      <c r="E107" s="51"/>
      <c r="F107" s="7"/>
      <c r="G107" s="51"/>
      <c r="H107" s="7">
        <v>91</v>
      </c>
      <c r="I107" s="51">
        <v>131</v>
      </c>
      <c r="K107" s="13"/>
    </row>
    <row r="108" spans="1:11" s="2" customFormat="1" ht="30" x14ac:dyDescent="0.25">
      <c r="A108" s="13" t="s">
        <v>78</v>
      </c>
      <c r="B108" s="27" t="s">
        <v>197</v>
      </c>
      <c r="C108" s="2" t="s">
        <v>50</v>
      </c>
      <c r="D108" s="7"/>
      <c r="E108" s="51"/>
      <c r="F108" s="7"/>
      <c r="G108" s="51"/>
      <c r="H108" s="7">
        <v>71.569999999999993</v>
      </c>
      <c r="I108" s="51">
        <v>12</v>
      </c>
      <c r="K108" s="13"/>
    </row>
    <row r="109" spans="1:11" s="2" customFormat="1" ht="30" x14ac:dyDescent="0.25">
      <c r="A109" s="13" t="s">
        <v>79</v>
      </c>
      <c r="B109" s="27" t="s">
        <v>167</v>
      </c>
      <c r="C109" s="2" t="s">
        <v>50</v>
      </c>
      <c r="D109" s="7"/>
      <c r="E109" s="51"/>
      <c r="F109" s="7"/>
      <c r="G109" s="51"/>
      <c r="H109" s="7">
        <v>43.48</v>
      </c>
      <c r="I109" s="51">
        <v>0</v>
      </c>
      <c r="K109" s="13"/>
    </row>
    <row r="110" spans="1:11" s="2" customFormat="1" ht="30" x14ac:dyDescent="0.25">
      <c r="A110" s="13" t="s">
        <v>80</v>
      </c>
      <c r="B110" s="27" t="s">
        <v>177</v>
      </c>
      <c r="C110" s="2" t="s">
        <v>50</v>
      </c>
      <c r="D110" s="7"/>
      <c r="E110" s="51"/>
      <c r="F110" s="7"/>
      <c r="G110" s="51"/>
      <c r="H110" s="7">
        <v>28.16</v>
      </c>
      <c r="I110" s="51">
        <v>0</v>
      </c>
      <c r="K110" s="13"/>
    </row>
    <row r="111" spans="1:11" s="2" customFormat="1" ht="30" x14ac:dyDescent="0.25">
      <c r="A111" s="13" t="s">
        <v>81</v>
      </c>
      <c r="B111" s="27" t="s">
        <v>180</v>
      </c>
      <c r="C111" s="2" t="s">
        <v>50</v>
      </c>
      <c r="D111" s="7"/>
      <c r="E111" s="51"/>
      <c r="F111" s="7"/>
      <c r="G111" s="51"/>
      <c r="H111" s="7">
        <v>29.76</v>
      </c>
      <c r="I111" s="51">
        <v>23</v>
      </c>
      <c r="K111" s="13"/>
    </row>
    <row r="112" spans="1:11" s="2" customFormat="1" ht="30" x14ac:dyDescent="0.25">
      <c r="A112" s="13" t="s">
        <v>82</v>
      </c>
      <c r="B112" s="27" t="s">
        <v>179</v>
      </c>
      <c r="C112" s="2" t="s">
        <v>50</v>
      </c>
      <c r="D112" s="7"/>
      <c r="E112" s="51"/>
      <c r="F112" s="7"/>
      <c r="G112" s="51"/>
      <c r="H112" s="7">
        <v>72.319999999999993</v>
      </c>
      <c r="I112" s="51">
        <v>74</v>
      </c>
      <c r="K112" s="13"/>
    </row>
    <row r="113" spans="1:11" s="2" customFormat="1" ht="30" x14ac:dyDescent="0.25">
      <c r="A113" s="13" t="s">
        <v>83</v>
      </c>
      <c r="B113" s="27" t="s">
        <v>178</v>
      </c>
      <c r="C113" s="2" t="s">
        <v>50</v>
      </c>
      <c r="D113" s="7"/>
      <c r="E113" s="51"/>
      <c r="F113" s="7"/>
      <c r="G113" s="51"/>
      <c r="H113" s="7">
        <v>50.5</v>
      </c>
      <c r="I113" s="51">
        <v>12</v>
      </c>
      <c r="K113" s="13"/>
    </row>
    <row r="114" spans="1:11" s="2" customFormat="1" ht="30" x14ac:dyDescent="0.25">
      <c r="A114" s="13" t="s">
        <v>84</v>
      </c>
      <c r="B114" s="27" t="s">
        <v>175</v>
      </c>
      <c r="C114" s="2" t="s">
        <v>50</v>
      </c>
      <c r="D114" s="7"/>
      <c r="E114" s="51"/>
      <c r="F114" s="7"/>
      <c r="G114" s="51"/>
      <c r="H114" s="7">
        <v>28.16</v>
      </c>
      <c r="I114" s="51">
        <v>13</v>
      </c>
      <c r="K114" s="13"/>
    </row>
    <row r="115" spans="1:11" s="2" customFormat="1" ht="30" x14ac:dyDescent="0.25">
      <c r="A115" s="13" t="s">
        <v>85</v>
      </c>
      <c r="B115" s="27" t="s">
        <v>184</v>
      </c>
      <c r="C115" s="2" t="s">
        <v>50</v>
      </c>
      <c r="D115" s="7"/>
      <c r="E115" s="51"/>
      <c r="F115" s="7"/>
      <c r="G115" s="51"/>
      <c r="H115" s="7">
        <v>28.16</v>
      </c>
      <c r="I115" s="51">
        <v>0</v>
      </c>
      <c r="K115" s="13"/>
    </row>
    <row r="116" spans="1:11" s="2" customFormat="1" ht="30" x14ac:dyDescent="0.25">
      <c r="A116" s="13" t="s">
        <v>86</v>
      </c>
      <c r="B116" s="27" t="s">
        <v>185</v>
      </c>
      <c r="C116" s="2" t="s">
        <v>50</v>
      </c>
      <c r="D116" s="7"/>
      <c r="E116" s="51"/>
      <c r="F116" s="7"/>
      <c r="G116" s="51"/>
      <c r="H116" s="7">
        <v>28.16</v>
      </c>
      <c r="I116" s="51">
        <v>6</v>
      </c>
      <c r="K116" s="13"/>
    </row>
    <row r="117" spans="1:11" s="2" customFormat="1" ht="30" x14ac:dyDescent="0.25">
      <c r="A117" s="13" t="s">
        <v>87</v>
      </c>
      <c r="B117" s="27" t="s">
        <v>181</v>
      </c>
      <c r="C117" s="2" t="s">
        <v>50</v>
      </c>
      <c r="D117" s="7"/>
      <c r="E117" s="51"/>
      <c r="F117" s="7"/>
      <c r="G117" s="51"/>
      <c r="H117" s="7">
        <v>28.16</v>
      </c>
      <c r="I117" s="51">
        <v>2</v>
      </c>
      <c r="K117" s="13"/>
    </row>
    <row r="118" spans="1:11" s="2" customFormat="1" ht="30" x14ac:dyDescent="0.25">
      <c r="A118" s="13" t="s">
        <v>88</v>
      </c>
      <c r="B118" s="27" t="s">
        <v>172</v>
      </c>
      <c r="C118" s="2" t="s">
        <v>50</v>
      </c>
      <c r="D118" s="7"/>
      <c r="E118" s="51"/>
      <c r="F118" s="7"/>
      <c r="G118" s="51"/>
      <c r="H118" s="7">
        <v>164.34</v>
      </c>
      <c r="I118" s="51">
        <v>244</v>
      </c>
      <c r="K118" s="13"/>
    </row>
    <row r="119" spans="1:11" s="2" customFormat="1" ht="30" x14ac:dyDescent="0.25">
      <c r="A119" s="13" t="s">
        <v>608</v>
      </c>
      <c r="B119" s="27" t="s">
        <v>173</v>
      </c>
      <c r="C119" s="2" t="s">
        <v>50</v>
      </c>
      <c r="D119" s="7"/>
      <c r="E119" s="51"/>
      <c r="F119" s="7"/>
      <c r="G119" s="51"/>
      <c r="H119" s="7">
        <v>111.35</v>
      </c>
      <c r="I119" s="51">
        <v>138</v>
      </c>
      <c r="K119" s="13"/>
    </row>
    <row r="120" spans="1:11" s="2" customFormat="1" ht="30" x14ac:dyDescent="0.25">
      <c r="A120" s="13" t="s">
        <v>90</v>
      </c>
      <c r="B120" s="27" t="s">
        <v>174</v>
      </c>
      <c r="C120" s="2" t="s">
        <v>50</v>
      </c>
      <c r="D120" s="7"/>
      <c r="E120" s="51"/>
      <c r="F120" s="7"/>
      <c r="G120" s="51"/>
      <c r="H120" s="7">
        <v>85.16</v>
      </c>
      <c r="I120" s="51">
        <v>122</v>
      </c>
      <c r="K120" s="13"/>
    </row>
    <row r="121" spans="1:11" s="2" customFormat="1" ht="33" customHeight="1" x14ac:dyDescent="0.25">
      <c r="A121" s="13" t="s">
        <v>91</v>
      </c>
      <c r="B121" s="27" t="s">
        <v>182</v>
      </c>
      <c r="C121" s="2" t="s">
        <v>50</v>
      </c>
      <c r="D121" s="7"/>
      <c r="E121" s="51"/>
      <c r="F121" s="7"/>
      <c r="G121" s="51"/>
      <c r="H121" s="7">
        <v>43.48</v>
      </c>
      <c r="I121" s="51">
        <v>12</v>
      </c>
      <c r="K121" s="13"/>
    </row>
    <row r="122" spans="1:11" s="2" customFormat="1" ht="30" x14ac:dyDescent="0.25">
      <c r="A122" s="13" t="s">
        <v>92</v>
      </c>
      <c r="B122" s="27" t="s">
        <v>186</v>
      </c>
      <c r="C122" s="2" t="s">
        <v>50</v>
      </c>
      <c r="D122" s="7"/>
      <c r="E122" s="51"/>
      <c r="F122" s="7"/>
      <c r="G122" s="51"/>
      <c r="H122" s="7">
        <v>28.16</v>
      </c>
      <c r="I122" s="51">
        <v>16</v>
      </c>
      <c r="K122" s="13"/>
    </row>
    <row r="123" spans="1:11" s="2" customFormat="1" ht="30" x14ac:dyDescent="0.25">
      <c r="A123" s="13" t="s">
        <v>93</v>
      </c>
      <c r="B123" s="27" t="s">
        <v>183</v>
      </c>
      <c r="C123" s="2" t="s">
        <v>50</v>
      </c>
      <c r="D123" s="7"/>
      <c r="E123" s="51"/>
      <c r="F123" s="7"/>
      <c r="G123" s="51"/>
      <c r="H123" s="7">
        <v>28.16</v>
      </c>
      <c r="I123" s="51">
        <v>0</v>
      </c>
      <c r="K123" s="13"/>
    </row>
    <row r="124" spans="1:11" s="2" customFormat="1" ht="30" x14ac:dyDescent="0.25">
      <c r="A124" s="13" t="s">
        <v>103</v>
      </c>
      <c r="B124" s="27" t="s">
        <v>194</v>
      </c>
      <c r="C124" s="2" t="s">
        <v>50</v>
      </c>
      <c r="D124" s="7"/>
      <c r="E124" s="51"/>
      <c r="F124" s="7"/>
      <c r="G124" s="51"/>
      <c r="H124" s="7">
        <v>43.97</v>
      </c>
      <c r="I124" s="51">
        <v>5</v>
      </c>
      <c r="K124" s="13"/>
    </row>
    <row r="125" spans="1:11" s="2" customFormat="1" ht="30" x14ac:dyDescent="0.25">
      <c r="A125" s="13" t="s">
        <v>104</v>
      </c>
      <c r="B125" s="27" t="s">
        <v>195</v>
      </c>
      <c r="C125" s="2" t="s">
        <v>50</v>
      </c>
      <c r="D125" s="7"/>
      <c r="E125" s="51"/>
      <c r="F125" s="7"/>
      <c r="G125" s="51"/>
      <c r="H125" s="7">
        <v>43.48</v>
      </c>
      <c r="I125" s="51">
        <v>13</v>
      </c>
      <c r="K125" s="13"/>
    </row>
    <row r="126" spans="1:11" s="2" customFormat="1" ht="30" x14ac:dyDescent="0.25">
      <c r="A126" s="13" t="s">
        <v>105</v>
      </c>
      <c r="B126" s="27" t="s">
        <v>196</v>
      </c>
      <c r="C126" s="2" t="s">
        <v>50</v>
      </c>
      <c r="D126" s="7"/>
      <c r="E126" s="51"/>
      <c r="F126" s="7"/>
      <c r="G126" s="51"/>
      <c r="H126" s="7">
        <v>42.24</v>
      </c>
      <c r="I126" s="51">
        <v>0</v>
      </c>
      <c r="K126" s="13"/>
    </row>
    <row r="127" spans="1:11" s="2" customFormat="1" ht="30" x14ac:dyDescent="0.25">
      <c r="A127" s="13" t="s">
        <v>68</v>
      </c>
      <c r="B127" s="27" t="s">
        <v>166</v>
      </c>
      <c r="C127" s="2" t="s">
        <v>50</v>
      </c>
      <c r="D127" s="7"/>
      <c r="E127" s="51"/>
      <c r="F127" s="7"/>
      <c r="G127" s="51"/>
      <c r="H127" s="7">
        <v>105.61</v>
      </c>
      <c r="I127" s="51">
        <v>38</v>
      </c>
      <c r="K127" s="13"/>
    </row>
    <row r="128" spans="1:11" s="2" customFormat="1" ht="30" x14ac:dyDescent="0.25">
      <c r="A128" s="13" t="s">
        <v>46</v>
      </c>
      <c r="B128" s="27" t="s">
        <v>193</v>
      </c>
      <c r="C128" s="2" t="s">
        <v>50</v>
      </c>
      <c r="D128" s="7"/>
      <c r="E128" s="51"/>
      <c r="F128" s="7"/>
      <c r="G128" s="51"/>
      <c r="H128" s="7">
        <v>43.49</v>
      </c>
      <c r="I128" s="51">
        <v>12</v>
      </c>
      <c r="K128" s="13"/>
    </row>
    <row r="129" spans="1:11" s="2" customFormat="1" ht="30" x14ac:dyDescent="0.25">
      <c r="A129" s="13" t="s">
        <v>17</v>
      </c>
      <c r="B129" s="27" t="s">
        <v>192</v>
      </c>
      <c r="C129" s="2" t="s">
        <v>50</v>
      </c>
      <c r="D129" s="7"/>
      <c r="E129" s="51"/>
      <c r="F129" s="7"/>
      <c r="G129" s="51"/>
      <c r="H129" s="7">
        <v>90.19</v>
      </c>
      <c r="I129" s="51">
        <v>0</v>
      </c>
      <c r="K129" s="13"/>
    </row>
    <row r="130" spans="1:11" s="2" customFormat="1" ht="30" x14ac:dyDescent="0.25">
      <c r="A130" s="13" t="s">
        <v>47</v>
      </c>
      <c r="B130" s="27" t="s">
        <v>139</v>
      </c>
      <c r="C130" s="2" t="s">
        <v>132</v>
      </c>
      <c r="D130" s="7"/>
      <c r="E130" s="51"/>
      <c r="F130" s="7"/>
      <c r="G130" s="51"/>
      <c r="H130" s="7">
        <v>61.83</v>
      </c>
      <c r="I130" s="51">
        <v>53</v>
      </c>
      <c r="K130" s="13"/>
    </row>
    <row r="131" spans="1:11" s="2" customFormat="1" ht="30" x14ac:dyDescent="0.25">
      <c r="A131" s="13" t="s">
        <v>64</v>
      </c>
      <c r="B131" s="27" t="s">
        <v>191</v>
      </c>
      <c r="D131" s="7"/>
      <c r="E131" s="51"/>
      <c r="F131" s="7"/>
      <c r="G131" s="51"/>
      <c r="H131" s="7">
        <v>56.68</v>
      </c>
      <c r="I131" s="51">
        <v>16</v>
      </c>
      <c r="K131" s="13"/>
    </row>
    <row r="132" spans="1:11" s="2" customFormat="1" ht="30" x14ac:dyDescent="0.25">
      <c r="A132" s="13" t="s">
        <v>130</v>
      </c>
      <c r="B132" s="27" t="s">
        <v>131</v>
      </c>
      <c r="C132" s="2" t="s">
        <v>132</v>
      </c>
      <c r="D132" s="7"/>
      <c r="E132" s="51"/>
      <c r="F132" s="7"/>
      <c r="G132" s="51"/>
      <c r="H132" s="7">
        <v>28.16</v>
      </c>
      <c r="I132" s="51">
        <v>3</v>
      </c>
      <c r="K132" s="13"/>
    </row>
    <row r="133" spans="1:11" s="2" customFormat="1" ht="30" x14ac:dyDescent="0.25">
      <c r="A133" s="13" t="s">
        <v>134</v>
      </c>
      <c r="B133" s="27" t="s">
        <v>133</v>
      </c>
      <c r="C133" s="2" t="s">
        <v>132</v>
      </c>
      <c r="D133" s="7"/>
      <c r="E133" s="51"/>
      <c r="F133" s="7"/>
      <c r="G133" s="51"/>
      <c r="H133" s="7">
        <v>238.7</v>
      </c>
      <c r="I133" s="51">
        <v>328</v>
      </c>
      <c r="K133" s="13"/>
    </row>
    <row r="134" spans="1:11" s="2" customFormat="1" x14ac:dyDescent="0.25">
      <c r="A134" s="13" t="s">
        <v>136</v>
      </c>
      <c r="B134" s="27" t="s">
        <v>135</v>
      </c>
      <c r="C134" s="2" t="s">
        <v>132</v>
      </c>
      <c r="D134" s="7"/>
      <c r="E134" s="51"/>
      <c r="F134" s="7"/>
      <c r="G134" s="51"/>
      <c r="H134" s="7">
        <v>1882.27</v>
      </c>
      <c r="I134" s="51">
        <v>2055</v>
      </c>
      <c r="K134" s="13"/>
    </row>
    <row r="135" spans="1:11" s="2" customFormat="1" x14ac:dyDescent="0.25">
      <c r="A135" s="13" t="s">
        <v>137</v>
      </c>
      <c r="B135" s="27" t="s">
        <v>138</v>
      </c>
      <c r="C135" s="2" t="s">
        <v>132</v>
      </c>
      <c r="D135" s="7"/>
      <c r="E135" s="51"/>
      <c r="F135" s="7"/>
      <c r="G135" s="51"/>
      <c r="H135" s="7">
        <v>28.16</v>
      </c>
      <c r="I135" s="51">
        <v>0</v>
      </c>
      <c r="K135" s="13"/>
    </row>
    <row r="136" spans="1:11" s="2" customFormat="1" ht="30" x14ac:dyDescent="0.25">
      <c r="A136" s="13" t="s">
        <v>140</v>
      </c>
      <c r="B136" s="27" t="s">
        <v>141</v>
      </c>
      <c r="C136" s="2" t="s">
        <v>132</v>
      </c>
      <c r="D136" s="7"/>
      <c r="E136" s="51"/>
      <c r="F136" s="7"/>
      <c r="G136" s="51"/>
      <c r="H136" s="7">
        <v>43.48</v>
      </c>
      <c r="I136" s="51">
        <v>0</v>
      </c>
      <c r="K136" s="13"/>
    </row>
    <row r="137" spans="1:11" s="2" customFormat="1" x14ac:dyDescent="0.25">
      <c r="A137" s="13" t="s">
        <v>142</v>
      </c>
      <c r="B137" s="27" t="s">
        <v>143</v>
      </c>
      <c r="C137" s="2" t="s">
        <v>132</v>
      </c>
      <c r="D137" s="7"/>
      <c r="E137" s="51"/>
      <c r="F137" s="7"/>
      <c r="G137" s="51"/>
      <c r="H137" s="7">
        <v>35.64</v>
      </c>
      <c r="I137" s="51">
        <v>34</v>
      </c>
      <c r="K137" s="13"/>
    </row>
    <row r="138" spans="1:11" s="2" customFormat="1" x14ac:dyDescent="0.25">
      <c r="A138" s="13" t="s">
        <v>144</v>
      </c>
      <c r="B138" s="27" t="s">
        <v>145</v>
      </c>
      <c r="C138" s="2" t="s">
        <v>132</v>
      </c>
      <c r="D138" s="7"/>
      <c r="E138" s="51"/>
      <c r="F138" s="7"/>
      <c r="G138" s="51"/>
      <c r="H138" s="7">
        <v>184.5</v>
      </c>
      <c r="I138" s="51">
        <v>197</v>
      </c>
      <c r="K138" s="13"/>
    </row>
    <row r="139" spans="1:11" s="2" customFormat="1" x14ac:dyDescent="0.25">
      <c r="A139" s="13" t="s">
        <v>146</v>
      </c>
      <c r="B139" s="27" t="s">
        <v>147</v>
      </c>
      <c r="C139" s="2" t="s">
        <v>132</v>
      </c>
      <c r="D139" s="7"/>
      <c r="E139" s="51"/>
      <c r="F139" s="7"/>
      <c r="G139" s="51"/>
      <c r="H139" s="7">
        <v>100.09</v>
      </c>
      <c r="I139" s="51">
        <v>145</v>
      </c>
      <c r="K139" s="13"/>
    </row>
    <row r="140" spans="1:11" s="2" customFormat="1" x14ac:dyDescent="0.25">
      <c r="A140" s="13" t="s">
        <v>176</v>
      </c>
      <c r="B140" s="27" t="s">
        <v>165</v>
      </c>
      <c r="C140" s="2" t="s">
        <v>132</v>
      </c>
      <c r="D140" s="7"/>
      <c r="E140" s="51"/>
      <c r="F140" s="7"/>
      <c r="G140" s="51"/>
      <c r="H140" s="7">
        <v>113.12</v>
      </c>
      <c r="I140" s="51">
        <v>112</v>
      </c>
      <c r="K140" s="13"/>
    </row>
    <row r="141" spans="1:11" s="2" customFormat="1" ht="30" x14ac:dyDescent="0.25">
      <c r="A141" s="20" t="s">
        <v>106</v>
      </c>
      <c r="B141" s="27"/>
      <c r="D141" s="7"/>
      <c r="E141" s="51"/>
      <c r="F141" s="7"/>
      <c r="G141" s="51"/>
      <c r="H141" s="7"/>
      <c r="I141" s="51"/>
      <c r="K141" s="13"/>
    </row>
    <row r="142" spans="1:11" s="2" customFormat="1" ht="30" x14ac:dyDescent="0.25">
      <c r="A142" s="13" t="s">
        <v>107</v>
      </c>
      <c r="B142" s="27">
        <v>67</v>
      </c>
      <c r="C142" s="2" t="s">
        <v>108</v>
      </c>
      <c r="D142" s="7"/>
      <c r="E142" s="51"/>
      <c r="F142" s="7"/>
      <c r="G142" s="51"/>
      <c r="H142" s="7">
        <v>47.5</v>
      </c>
      <c r="I142" s="51">
        <v>0</v>
      </c>
      <c r="K142" s="13"/>
    </row>
    <row r="143" spans="1:11" s="2" customFormat="1" ht="30" x14ac:dyDescent="0.25">
      <c r="A143" s="13" t="s">
        <v>109</v>
      </c>
      <c r="B143" s="27">
        <v>95</v>
      </c>
      <c r="C143" s="2" t="s">
        <v>108</v>
      </c>
      <c r="D143" s="7"/>
      <c r="E143" s="51"/>
      <c r="F143" s="7"/>
      <c r="G143" s="51"/>
      <c r="H143" s="7">
        <v>57.5</v>
      </c>
      <c r="I143" s="51">
        <v>900</v>
      </c>
      <c r="K143" s="13"/>
    </row>
    <row r="144" spans="1:11" s="2" customFormat="1" x14ac:dyDescent="0.25">
      <c r="A144" s="5" t="s">
        <v>155</v>
      </c>
      <c r="B144" s="26"/>
      <c r="D144" s="7"/>
      <c r="E144" s="51"/>
      <c r="F144" s="7"/>
      <c r="G144" s="51"/>
      <c r="H144" s="7"/>
      <c r="I144" s="51"/>
      <c r="K144" s="13"/>
    </row>
    <row r="145" spans="1:11" s="2" customFormat="1" ht="30" x14ac:dyDescent="0.25">
      <c r="A145" s="13" t="s">
        <v>156</v>
      </c>
      <c r="B145" s="26">
        <v>61</v>
      </c>
      <c r="C145" s="2" t="s">
        <v>160</v>
      </c>
      <c r="D145" s="7"/>
      <c r="E145" s="51"/>
      <c r="F145" s="7"/>
      <c r="G145" s="51"/>
      <c r="H145" s="7">
        <v>30.15</v>
      </c>
      <c r="I145" s="51">
        <v>20</v>
      </c>
      <c r="K145" s="13"/>
    </row>
    <row r="146" spans="1:11" x14ac:dyDescent="0.25">
      <c r="D146" s="7">
        <f t="shared" ref="D146:I146" si="0">SUM(D2:D145)</f>
        <v>23664.449999999997</v>
      </c>
      <c r="E146" s="52">
        <f t="shared" si="0"/>
        <v>224915</v>
      </c>
      <c r="F146" s="7">
        <f t="shared" si="0"/>
        <v>1041.5999999999999</v>
      </c>
      <c r="G146" s="52">
        <f t="shared" si="0"/>
        <v>915</v>
      </c>
      <c r="H146" s="7">
        <f t="shared" si="0"/>
        <v>5081.0299999999988</v>
      </c>
      <c r="I146" s="52">
        <f t="shared" si="0"/>
        <v>6305</v>
      </c>
    </row>
  </sheetData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9" sqref="I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2114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42"/>
      <c r="B4" s="1043"/>
      <c r="C4" s="1043"/>
      <c r="D4" s="1043"/>
      <c r="E4" s="1043"/>
      <c r="F4" s="1043"/>
      <c r="G4" s="104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215562</v>
      </c>
      <c r="D13" s="34"/>
      <c r="E13" s="35" t="s">
        <v>33</v>
      </c>
      <c r="F13" s="34"/>
      <c r="G13" s="42">
        <v>23901.279999999999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8725</v>
      </c>
      <c r="D15" s="34"/>
      <c r="E15" s="35" t="s">
        <v>10</v>
      </c>
      <c r="F15" s="34"/>
      <c r="G15" s="42">
        <v>10887.49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7179</v>
      </c>
      <c r="D17" s="34"/>
      <c r="E17" s="35" t="s">
        <v>278</v>
      </c>
      <c r="F17" s="34"/>
      <c r="G17" s="42">
        <v>6092.91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34" activePane="bottomLeft" state="frozen"/>
      <selection pane="bottomLeft" activeCell="C24" sqref="C24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2098</v>
      </c>
      <c r="D3" s="328"/>
      <c r="E3" s="763"/>
      <c r="F3" s="620">
        <v>2554.9899999999998</v>
      </c>
      <c r="G3" s="763">
        <v>2173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2101</v>
      </c>
      <c r="D4" s="269"/>
      <c r="E4" s="757"/>
      <c r="F4" s="544">
        <v>837.17</v>
      </c>
      <c r="G4" s="757">
        <v>686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2097</v>
      </c>
      <c r="D5" s="328"/>
      <c r="E5" s="763"/>
      <c r="F5" s="620">
        <v>199.61</v>
      </c>
      <c r="G5" s="763">
        <v>115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2103</v>
      </c>
      <c r="D6" s="269"/>
      <c r="E6" s="757"/>
      <c r="F6" s="544">
        <v>92.66</v>
      </c>
      <c r="G6" s="757">
        <v>22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2099</v>
      </c>
      <c r="D7" s="269"/>
      <c r="E7" s="757"/>
      <c r="F7" s="544">
        <v>288.43</v>
      </c>
      <c r="G7" s="757">
        <v>196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2102</v>
      </c>
      <c r="D8" s="269"/>
      <c r="E8" s="757"/>
      <c r="F8" s="544">
        <v>791.51</v>
      </c>
      <c r="G8" s="757">
        <v>646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2102</v>
      </c>
      <c r="D9" s="269"/>
      <c r="E9" s="757"/>
      <c r="F9" s="544">
        <v>1687.44</v>
      </c>
      <c r="G9" s="757">
        <v>1446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2102</v>
      </c>
      <c r="D10" s="269"/>
      <c r="E10" s="757"/>
      <c r="F10" s="544">
        <v>80.91</v>
      </c>
      <c r="G10" s="757">
        <v>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2098</v>
      </c>
      <c r="D11" s="269"/>
      <c r="E11" s="757"/>
      <c r="F11" s="544">
        <v>154.06</v>
      </c>
      <c r="G11" s="757">
        <v>67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2101</v>
      </c>
      <c r="D12" s="269"/>
      <c r="E12" s="757"/>
      <c r="F12" s="544">
        <v>137.54</v>
      </c>
      <c r="G12" s="757">
        <v>62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2101</v>
      </c>
      <c r="D13" s="269"/>
      <c r="E13" s="757"/>
      <c r="F13" s="544">
        <v>2338.4699999999998</v>
      </c>
      <c r="G13" s="757">
        <v>2025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2103</v>
      </c>
      <c r="D14" s="269"/>
      <c r="E14" s="757"/>
      <c r="F14" s="544">
        <v>290.99</v>
      </c>
      <c r="G14" s="757">
        <v>199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2101</v>
      </c>
      <c r="D15" s="269"/>
      <c r="E15" s="757"/>
      <c r="F15" s="544">
        <v>993.02</v>
      </c>
      <c r="G15" s="757">
        <v>825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2104</v>
      </c>
      <c r="D16" s="269"/>
      <c r="E16" s="757"/>
      <c r="F16" s="544">
        <v>243.61</v>
      </c>
      <c r="G16" s="757">
        <v>145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2104</v>
      </c>
      <c r="D17" s="269"/>
      <c r="E17" s="757"/>
      <c r="F17" s="544">
        <v>197.08</v>
      </c>
      <c r="G17" s="757">
        <v>112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238.65</v>
      </c>
      <c r="E19" s="546">
        <f>2240+12</f>
        <v>2252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51.24</v>
      </c>
      <c r="E21" s="546">
        <v>588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70.989999999999995</v>
      </c>
      <c r="E23" s="546">
        <v>838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376.63</v>
      </c>
      <c r="E24" s="546">
        <f>4120+16</f>
        <v>4136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14.25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104.15</v>
      </c>
      <c r="E26" s="546">
        <v>1261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16.309999999999999</v>
      </c>
      <c r="E28" s="546">
        <v>105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140.07</v>
      </c>
      <c r="E29" s="546">
        <v>1335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643.87</v>
      </c>
      <c r="E30" s="546">
        <v>8230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287.93</v>
      </c>
      <c r="E33" s="546">
        <f>3073+12</f>
        <v>3085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11.48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102.74</v>
      </c>
      <c r="E35" s="546">
        <v>1263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20.77</v>
      </c>
      <c r="E36" s="546">
        <v>165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3299.89</v>
      </c>
      <c r="E37" s="546">
        <v>52102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120.8</v>
      </c>
      <c r="E38" s="546">
        <v>1505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67.150000000000006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21.24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16.34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20.65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1015.18</v>
      </c>
      <c r="E43" s="546">
        <f>11040+50</f>
        <v>11090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11.48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60.97</v>
      </c>
      <c r="E45" s="546">
        <v>705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113.85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8.31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27.78</v>
      </c>
      <c r="E48" s="546">
        <v>251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187.87</v>
      </c>
      <c r="E49" s="546">
        <f>1546+9</f>
        <v>1555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</v>
      </c>
      <c r="E50" s="546">
        <v>80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312.98</v>
      </c>
      <c r="E51" s="546">
        <f>3383+11</f>
        <v>3394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113.61</v>
      </c>
      <c r="E52" s="546">
        <v>1317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58.94</v>
      </c>
      <c r="E53" s="546">
        <v>180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944.12</v>
      </c>
      <c r="E54" s="546">
        <f>12180+40</f>
        <v>12220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102.42</v>
      </c>
      <c r="E56" s="546">
        <f>316+5</f>
        <v>321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1262.27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475.48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22.96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290.75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205.86</v>
      </c>
      <c r="E61" s="546">
        <v>880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903.5</v>
      </c>
      <c r="E62" s="546">
        <v>4960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244.1</v>
      </c>
      <c r="E64" s="546">
        <f>3393+5</f>
        <v>3398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602.55999999999995</v>
      </c>
      <c r="E65" s="546">
        <f>8597+14</f>
        <v>8611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315</v>
      </c>
      <c r="E66" s="546">
        <f>1440+20</f>
        <v>1460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318.27999999999997</v>
      </c>
      <c r="E67" s="546">
        <f>2553+19</f>
        <v>2572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354</v>
      </c>
      <c r="E69" s="757">
        <v>2416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242</v>
      </c>
      <c r="E70" s="757">
        <v>1397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146</v>
      </c>
      <c r="E71" s="757">
        <v>658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66</v>
      </c>
      <c r="E72" s="757">
        <v>199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51</v>
      </c>
      <c r="E73" s="757">
        <v>80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282</v>
      </c>
      <c r="E74" s="757">
        <v>1707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626</v>
      </c>
      <c r="E75" s="757">
        <v>4559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78</v>
      </c>
      <c r="E76" s="757">
        <v>293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84</v>
      </c>
      <c r="E77" s="757">
        <v>178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226</v>
      </c>
      <c r="E79" s="757">
        <v>1433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97</v>
      </c>
      <c r="E80" s="757">
        <v>281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2370</v>
      </c>
      <c r="E81" s="757">
        <v>18120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590</v>
      </c>
      <c r="E85" s="757">
        <v>3300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832</v>
      </c>
      <c r="E86" s="757">
        <v>5760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245</v>
      </c>
      <c r="E88" s="757">
        <v>923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127</v>
      </c>
      <c r="E90" s="757">
        <v>318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268</v>
      </c>
      <c r="E91" s="757">
        <v>1753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266.95</v>
      </c>
      <c r="E92" s="757">
        <v>1596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2559</v>
      </c>
      <c r="E93" s="757">
        <v>21600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423</v>
      </c>
      <c r="E94" s="757">
        <v>2793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2105</v>
      </c>
      <c r="D96" s="269"/>
      <c r="E96" s="757"/>
      <c r="F96" s="544"/>
      <c r="G96" s="757"/>
      <c r="H96" s="269">
        <v>934.91</v>
      </c>
      <c r="I96" s="757">
        <v>1249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2105</v>
      </c>
      <c r="D97" s="269"/>
      <c r="E97" s="757"/>
      <c r="F97" s="544"/>
      <c r="G97" s="757"/>
      <c r="H97" s="269">
        <v>131.99</v>
      </c>
      <c r="I97" s="757">
        <v>177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2105</v>
      </c>
      <c r="D98" s="269"/>
      <c r="E98" s="757"/>
      <c r="F98" s="544"/>
      <c r="G98" s="757"/>
      <c r="H98" s="269">
        <v>79.349999999999994</v>
      </c>
      <c r="I98" s="757">
        <v>95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2105</v>
      </c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2105</v>
      </c>
      <c r="D100" s="269"/>
      <c r="E100" s="757"/>
      <c r="F100" s="544"/>
      <c r="G100" s="757"/>
      <c r="H100" s="269">
        <v>39.299999999999997</v>
      </c>
      <c r="I100" s="757">
        <v>16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2105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2105</v>
      </c>
      <c r="D102" s="269"/>
      <c r="E102" s="757"/>
      <c r="F102" s="544"/>
      <c r="G102" s="757"/>
      <c r="H102" s="269">
        <v>49.45</v>
      </c>
      <c r="I102" s="757">
        <v>39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2105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2105</v>
      </c>
      <c r="D104" s="269"/>
      <c r="E104" s="757"/>
      <c r="F104" s="544"/>
      <c r="G104" s="757"/>
      <c r="H104" s="269">
        <v>125.5</v>
      </c>
      <c r="I104" s="757">
        <v>167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2105</v>
      </c>
      <c r="D105" s="269"/>
      <c r="E105" s="757"/>
      <c r="F105" s="544"/>
      <c r="G105" s="757"/>
      <c r="H105" s="269">
        <v>39.299999999999997</v>
      </c>
      <c r="I105" s="757">
        <v>13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2105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2105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2105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2105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2105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2105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2105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2105</v>
      </c>
      <c r="D113" s="269"/>
      <c r="E113" s="757"/>
      <c r="F113" s="544"/>
      <c r="G113" s="757"/>
      <c r="H113" s="269">
        <v>271.99</v>
      </c>
      <c r="I113" s="757">
        <v>381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2105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2105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2105</v>
      </c>
      <c r="D116" s="269"/>
      <c r="E116" s="757"/>
      <c r="F116" s="544"/>
      <c r="G116" s="757"/>
      <c r="H116" s="269">
        <v>103.44</v>
      </c>
      <c r="I116" s="757">
        <v>133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2105</v>
      </c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2105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2105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2105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2105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2105</v>
      </c>
      <c r="D122" s="269"/>
      <c r="E122" s="757"/>
      <c r="F122" s="544"/>
      <c r="G122" s="757"/>
      <c r="H122" s="269">
        <v>123.56</v>
      </c>
      <c r="I122" s="757">
        <v>164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2105</v>
      </c>
      <c r="D123" s="269"/>
      <c r="E123" s="757"/>
      <c r="F123" s="544"/>
      <c r="G123" s="757"/>
      <c r="H123" s="269">
        <v>78.56</v>
      </c>
      <c r="I123" s="757">
        <v>48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2105</v>
      </c>
      <c r="D124" s="269"/>
      <c r="E124" s="757"/>
      <c r="F124" s="544"/>
      <c r="G124" s="757"/>
      <c r="H124" s="269">
        <v>44.11</v>
      </c>
      <c r="I124" s="757">
        <v>29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2105</v>
      </c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2105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2096</v>
      </c>
      <c r="D127" s="269"/>
      <c r="E127" s="757"/>
      <c r="F127" s="544"/>
      <c r="G127" s="757"/>
      <c r="H127" s="269">
        <v>44.11</v>
      </c>
      <c r="I127" s="757">
        <v>29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45" t="s">
        <v>2105</v>
      </c>
      <c r="D128" s="269"/>
      <c r="E128" s="757"/>
      <c r="F128" s="544"/>
      <c r="G128" s="757"/>
      <c r="H128" s="269">
        <v>102.14</v>
      </c>
      <c r="I128" s="757">
        <v>131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2096</v>
      </c>
      <c r="D129" s="269"/>
      <c r="E129" s="757"/>
      <c r="F129" s="544"/>
      <c r="G129" s="757"/>
      <c r="H129" s="269">
        <v>48.38</v>
      </c>
      <c r="I129" s="757">
        <v>37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2096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2096</v>
      </c>
      <c r="D131" s="269"/>
      <c r="E131" s="757"/>
      <c r="F131" s="544"/>
      <c r="G131" s="757"/>
      <c r="H131" s="269">
        <v>2332.56</v>
      </c>
      <c r="I131" s="757">
        <v>3076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2096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2096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2096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2096</v>
      </c>
      <c r="D135" s="269"/>
      <c r="E135" s="757"/>
      <c r="F135" s="544"/>
      <c r="G135" s="757"/>
      <c r="H135" s="269">
        <v>201.99</v>
      </c>
      <c r="I135" s="757">
        <v>282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2096</v>
      </c>
      <c r="D136" s="269"/>
      <c r="E136" s="757"/>
      <c r="F136" s="544"/>
      <c r="G136" s="757"/>
      <c r="H136" s="269">
        <v>144.32</v>
      </c>
      <c r="I136" s="757">
        <v>196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2096</v>
      </c>
      <c r="D137" s="269"/>
      <c r="E137" s="757"/>
      <c r="F137" s="544"/>
      <c r="G137" s="757"/>
      <c r="H137" s="269">
        <v>176.77</v>
      </c>
      <c r="I137" s="757">
        <v>246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2108</v>
      </c>
      <c r="D139" s="269"/>
      <c r="E139" s="757"/>
      <c r="F139" s="544"/>
      <c r="G139" s="757"/>
      <c r="H139" s="269">
        <v>70</v>
      </c>
      <c r="I139" s="757">
        <v>500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2106</v>
      </c>
      <c r="D143" s="269"/>
      <c r="E143" s="757"/>
      <c r="F143" s="544"/>
      <c r="G143" s="757"/>
      <c r="H143" s="269">
        <v>35</v>
      </c>
      <c r="I143" s="757">
        <v>90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0" sqref="J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2100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39"/>
      <c r="B4" s="1040"/>
      <c r="C4" s="1040"/>
      <c r="D4" s="1040"/>
      <c r="E4" s="1040"/>
      <c r="F4" s="1040"/>
      <c r="G4" s="104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199477</v>
      </c>
      <c r="D13" s="34"/>
      <c r="E13" s="35" t="s">
        <v>33</v>
      </c>
      <c r="F13" s="34"/>
      <c r="G13" s="42">
        <v>22576.799999999999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6321</v>
      </c>
      <c r="D15" s="34"/>
      <c r="E15" s="35" t="s">
        <v>10</v>
      </c>
      <c r="F15" s="34"/>
      <c r="G15" s="42">
        <v>7639.5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7731</v>
      </c>
      <c r="D17" s="34"/>
      <c r="E17" s="35" t="s">
        <v>278</v>
      </c>
      <c r="F17" s="34"/>
      <c r="G17" s="42">
        <v>6403.7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2086</v>
      </c>
      <c r="D3" s="328"/>
      <c r="E3" s="763"/>
      <c r="F3" s="620">
        <v>1933.6</v>
      </c>
      <c r="G3" s="763">
        <v>1789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2088</v>
      </c>
      <c r="D4" s="269"/>
      <c r="E4" s="757"/>
      <c r="F4" s="544">
        <v>490.81</v>
      </c>
      <c r="G4" s="757">
        <v>406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2085</v>
      </c>
      <c r="D5" s="328"/>
      <c r="E5" s="763"/>
      <c r="F5" s="620">
        <v>282.85000000000002</v>
      </c>
      <c r="G5" s="763">
        <v>205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2090</v>
      </c>
      <c r="D6" s="269"/>
      <c r="E6" s="757"/>
      <c r="F6" s="544">
        <v>691.08</v>
      </c>
      <c r="G6" s="757">
        <v>598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2083</v>
      </c>
      <c r="D7" s="269"/>
      <c r="E7" s="757"/>
      <c r="F7" s="544">
        <v>169.1</v>
      </c>
      <c r="G7" s="757">
        <v>91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2089</v>
      </c>
      <c r="D8" s="269"/>
      <c r="E8" s="757"/>
      <c r="F8" s="544">
        <v>735.51</v>
      </c>
      <c r="G8" s="757">
        <v>640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2091</v>
      </c>
      <c r="D9" s="269"/>
      <c r="E9" s="757"/>
      <c r="F9" s="544">
        <v>403.86</v>
      </c>
      <c r="G9" s="757">
        <v>322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2089</v>
      </c>
      <c r="D10" s="269"/>
      <c r="E10" s="757"/>
      <c r="F10" s="544">
        <v>80.41</v>
      </c>
      <c r="G10" s="757">
        <v>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2092</v>
      </c>
      <c r="D11" s="269"/>
      <c r="E11" s="757"/>
      <c r="F11" s="544">
        <v>86.83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2088</v>
      </c>
      <c r="D12" s="269"/>
      <c r="E12" s="757"/>
      <c r="F12" s="544">
        <v>94.06</v>
      </c>
      <c r="G12" s="757">
        <v>25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2088</v>
      </c>
      <c r="D13" s="269"/>
      <c r="E13" s="757"/>
      <c r="F13" s="544">
        <v>1460.31</v>
      </c>
      <c r="G13" s="757">
        <v>1337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2090</v>
      </c>
      <c r="D14" s="269"/>
      <c r="E14" s="757"/>
      <c r="F14" s="544">
        <v>94.07</v>
      </c>
      <c r="G14" s="757">
        <v>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2088</v>
      </c>
      <c r="D15" s="269"/>
      <c r="E15" s="757"/>
      <c r="F15" s="544">
        <v>757.39</v>
      </c>
      <c r="G15" s="757">
        <v>662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2093</v>
      </c>
      <c r="D16" s="269"/>
      <c r="E16" s="757"/>
      <c r="F16" s="544">
        <v>181.92</v>
      </c>
      <c r="G16" s="757">
        <v>113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2093</v>
      </c>
      <c r="D17" s="269"/>
      <c r="E17" s="757"/>
      <c r="F17" s="544">
        <v>177.7</v>
      </c>
      <c r="G17" s="757">
        <v>99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207.97</v>
      </c>
      <c r="E19" s="546">
        <f>1611+11</f>
        <v>1622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36.97</v>
      </c>
      <c r="E21" s="546">
        <v>382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68.05</v>
      </c>
      <c r="E23" s="546">
        <v>788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421.53</v>
      </c>
      <c r="E24" s="546">
        <f>4480+18</f>
        <v>4498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14.26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92.81</v>
      </c>
      <c r="E26" s="546">
        <v>1123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16.36</v>
      </c>
      <c r="E28" s="546">
        <v>107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182.58</v>
      </c>
      <c r="E29" s="546">
        <f>1336+9</f>
        <v>1345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677.75</v>
      </c>
      <c r="E30" s="546">
        <f>7520+35</f>
        <v>7555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317.37</v>
      </c>
      <c r="E33" s="546">
        <f>3171+14</f>
        <v>3185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63.09</v>
      </c>
      <c r="E35" s="546">
        <v>738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18.489999999999998</v>
      </c>
      <c r="E36" s="546">
        <v>137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3232.13</v>
      </c>
      <c r="E37" s="546">
        <f>52200+112</f>
        <v>52312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80.97</v>
      </c>
      <c r="E38" s="546">
        <v>979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403.46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21.22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18.79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14.26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970.38</v>
      </c>
      <c r="E43" s="546">
        <f>11280+46</f>
        <v>11326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11.85</v>
      </c>
      <c r="E45" s="546">
        <v>48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112.78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107.7</v>
      </c>
      <c r="E48" s="546">
        <v>1325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212.57</v>
      </c>
      <c r="E49" s="546">
        <f>1596+11</f>
        <v>1607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8.36</v>
      </c>
      <c r="E50" s="546">
        <v>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304.3</v>
      </c>
      <c r="E51" s="546">
        <f>3238+12</f>
        <v>3250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109.88</v>
      </c>
      <c r="E52" s="546">
        <v>1313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29.44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985.33</v>
      </c>
      <c r="E54" s="546">
        <v>12642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40.97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1261.28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475.22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22.97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290.61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205.78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932.19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195.54</v>
      </c>
      <c r="E64" s="546">
        <f>2143+5</f>
        <v>2148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629.58000000000004</v>
      </c>
      <c r="E65" s="546">
        <f>8788+17</f>
        <v>8805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198.24</v>
      </c>
      <c r="E66" s="546">
        <v>970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272.67</v>
      </c>
      <c r="E67" s="546">
        <f>2295+14</f>
        <v>2309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314</v>
      </c>
      <c r="E69" s="757">
        <v>2112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179</v>
      </c>
      <c r="E70" s="757">
        <v>913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132</v>
      </c>
      <c r="E71" s="757">
        <v>549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67</v>
      </c>
      <c r="E72" s="757">
        <v>202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277</v>
      </c>
      <c r="E74" s="757">
        <v>1669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459</v>
      </c>
      <c r="E75" s="757">
        <v>3277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72</v>
      </c>
      <c r="E76" s="757">
        <v>240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80</v>
      </c>
      <c r="E77" s="757">
        <v>149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54</v>
      </c>
      <c r="E79" s="757">
        <v>105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92</v>
      </c>
      <c r="E80" s="757">
        <v>243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2380</v>
      </c>
      <c r="E81" s="757">
        <v>17280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8</v>
      </c>
      <c r="E84" s="757">
        <v>-274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435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552</v>
      </c>
      <c r="E86" s="757">
        <v>3600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256</v>
      </c>
      <c r="E88" s="757">
        <v>1006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123</v>
      </c>
      <c r="E90" s="757">
        <v>284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144</v>
      </c>
      <c r="E91" s="757">
        <v>796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246.07</v>
      </c>
      <c r="E92" s="757">
        <v>1435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2254</v>
      </c>
      <c r="E93" s="757">
        <v>18120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413</v>
      </c>
      <c r="E94" s="757">
        <v>2717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2094</v>
      </c>
      <c r="D96" s="269"/>
      <c r="E96" s="757"/>
      <c r="F96" s="544"/>
      <c r="G96" s="757"/>
      <c r="H96" s="269">
        <v>935.67</v>
      </c>
      <c r="I96" s="757">
        <v>1250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2094</v>
      </c>
      <c r="D97" s="269"/>
      <c r="E97" s="757"/>
      <c r="F97" s="544"/>
      <c r="G97" s="757"/>
      <c r="H97" s="269">
        <v>129.4</v>
      </c>
      <c r="I97" s="757">
        <v>173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2094</v>
      </c>
      <c r="D98" s="269"/>
      <c r="E98" s="757"/>
      <c r="F98" s="544"/>
      <c r="G98" s="757"/>
      <c r="H98" s="269">
        <v>39.299999999999997</v>
      </c>
      <c r="I98" s="757">
        <v>16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2094</v>
      </c>
      <c r="D99" s="269"/>
      <c r="E99" s="757"/>
      <c r="F99" s="544"/>
      <c r="G99" s="757"/>
      <c r="H99" s="269">
        <v>53.72</v>
      </c>
      <c r="I99" s="757">
        <v>47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2094</v>
      </c>
      <c r="D100" s="269"/>
      <c r="E100" s="757"/>
      <c r="F100" s="544"/>
      <c r="G100" s="757"/>
      <c r="H100" s="269">
        <v>39.299999999999997</v>
      </c>
      <c r="I100" s="757">
        <v>15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2094</v>
      </c>
      <c r="D101" s="269"/>
      <c r="E101" s="757"/>
      <c r="F101" s="544"/>
      <c r="G101" s="757"/>
      <c r="H101" s="269">
        <v>39.299999999999997</v>
      </c>
      <c r="I101" s="757">
        <v>13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2094</v>
      </c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2094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2094</v>
      </c>
      <c r="D104" s="269"/>
      <c r="E104" s="757"/>
      <c r="F104" s="544"/>
      <c r="G104" s="757"/>
      <c r="H104" s="269">
        <v>112.52</v>
      </c>
      <c r="I104" s="757">
        <v>147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2094</v>
      </c>
      <c r="D105" s="269"/>
      <c r="E105" s="757"/>
      <c r="F105" s="544"/>
      <c r="G105" s="757"/>
      <c r="H105" s="269">
        <v>39.299999999999997</v>
      </c>
      <c r="I105" s="757">
        <v>11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2094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2094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2094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2094</v>
      </c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2094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2094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2094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2094</v>
      </c>
      <c r="D113" s="269"/>
      <c r="E113" s="757"/>
      <c r="F113" s="544"/>
      <c r="G113" s="757"/>
      <c r="H113" s="269">
        <v>74.540000000000006</v>
      </c>
      <c r="I113" s="757">
        <v>86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2094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2094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2094</v>
      </c>
      <c r="D116" s="269"/>
      <c r="E116" s="757"/>
      <c r="F116" s="544"/>
      <c r="G116" s="757"/>
      <c r="H116" s="269">
        <v>53.72</v>
      </c>
      <c r="I116" s="757">
        <v>47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2094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2094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2094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2094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2094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2094</v>
      </c>
      <c r="D122" s="269"/>
      <c r="E122" s="757"/>
      <c r="F122" s="544"/>
      <c r="G122" s="757"/>
      <c r="H122" s="269">
        <v>306.83999999999997</v>
      </c>
      <c r="I122" s="757">
        <v>428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2094</v>
      </c>
      <c r="D123" s="269"/>
      <c r="E123" s="757"/>
      <c r="F123" s="544"/>
      <c r="G123" s="757"/>
      <c r="H123" s="269">
        <v>56.93</v>
      </c>
      <c r="I123" s="757">
        <v>21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2094</v>
      </c>
      <c r="D124" s="269"/>
      <c r="E124" s="757"/>
      <c r="F124" s="544"/>
      <c r="G124" s="757"/>
      <c r="H124" s="269">
        <v>46.24</v>
      </c>
      <c r="I124" s="757">
        <v>33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2094</v>
      </c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2094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2082</v>
      </c>
      <c r="D127" s="269"/>
      <c r="E127" s="757"/>
      <c r="F127" s="544"/>
      <c r="G127" s="757"/>
      <c r="H127" s="269">
        <v>46.78</v>
      </c>
      <c r="I127" s="757">
        <v>34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2094</v>
      </c>
      <c r="D128" s="269"/>
      <c r="E128" s="757"/>
      <c r="F128" s="544"/>
      <c r="G128" s="757"/>
      <c r="H128" s="269">
        <v>100.84</v>
      </c>
      <c r="I128" s="757">
        <v>129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2082</v>
      </c>
      <c r="D129" s="269"/>
      <c r="E129" s="757"/>
      <c r="F129" s="544"/>
      <c r="G129" s="757"/>
      <c r="H129" s="269">
        <v>56.39</v>
      </c>
      <c r="I129" s="757">
        <v>52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2082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2082</v>
      </c>
      <c r="D131" s="269"/>
      <c r="E131" s="757"/>
      <c r="F131" s="544"/>
      <c r="G131" s="757"/>
      <c r="H131" s="269">
        <v>2396.06</v>
      </c>
      <c r="I131" s="757">
        <v>3159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2082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2082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2082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2082</v>
      </c>
      <c r="D135" s="269"/>
      <c r="E135" s="757"/>
      <c r="F135" s="544"/>
      <c r="G135" s="757"/>
      <c r="H135" s="269">
        <v>376.46</v>
      </c>
      <c r="I135" s="757">
        <v>519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2082</v>
      </c>
      <c r="D136" s="269"/>
      <c r="E136" s="757"/>
      <c r="F136" s="544"/>
      <c r="G136" s="757"/>
      <c r="H136" s="269">
        <v>270.57</v>
      </c>
      <c r="I136" s="757">
        <v>379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2082</v>
      </c>
      <c r="D137" s="269"/>
      <c r="E137" s="757"/>
      <c r="F137" s="544"/>
      <c r="G137" s="757"/>
      <c r="H137" s="269">
        <v>286.95</v>
      </c>
      <c r="I137" s="757">
        <v>402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2095</v>
      </c>
      <c r="D139" s="269"/>
      <c r="E139" s="757"/>
      <c r="F139" s="544"/>
      <c r="G139" s="757"/>
      <c r="H139" s="269">
        <v>74</v>
      </c>
      <c r="I139" s="757">
        <v>700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L10" sqref="L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36"/>
      <c r="B4" s="1037"/>
      <c r="C4" s="1037"/>
      <c r="D4" s="1037"/>
      <c r="E4" s="1037"/>
      <c r="F4" s="1037"/>
      <c r="G4" s="103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189899</v>
      </c>
      <c r="D13" s="34"/>
      <c r="E13" s="35" t="s">
        <v>33</v>
      </c>
      <c r="F13" s="34"/>
      <c r="G13" s="42">
        <v>22206.240000000002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1146</v>
      </c>
      <c r="D15" s="34"/>
      <c r="E15" s="35" t="s">
        <v>10</v>
      </c>
      <c r="F15" s="34"/>
      <c r="G15" s="42">
        <v>2560.21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9720</v>
      </c>
      <c r="D17" s="34"/>
      <c r="E17" s="35" t="s">
        <v>278</v>
      </c>
      <c r="F17" s="34"/>
      <c r="G17" s="42">
        <v>7721.96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2076</v>
      </c>
      <c r="D3" s="328"/>
      <c r="E3" s="763"/>
      <c r="F3" s="620">
        <v>1152.23</v>
      </c>
      <c r="G3" s="763">
        <v>806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2074</v>
      </c>
      <c r="D4" s="269"/>
      <c r="E4" s="757"/>
      <c r="F4" s="544">
        <v>103.78</v>
      </c>
      <c r="G4" s="757">
        <v>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2073</v>
      </c>
      <c r="D5" s="328"/>
      <c r="E5" s="763"/>
      <c r="F5" s="620">
        <v>88.97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2077</v>
      </c>
      <c r="D6" s="269"/>
      <c r="E6" s="757"/>
      <c r="F6" s="544">
        <v>125.31</v>
      </c>
      <c r="G6" s="757">
        <v>43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2072</v>
      </c>
      <c r="D7" s="269"/>
      <c r="E7" s="757"/>
      <c r="F7" s="544">
        <v>86.5</v>
      </c>
      <c r="G7" s="757">
        <v>2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2075</v>
      </c>
      <c r="D8" s="269"/>
      <c r="E8" s="757"/>
      <c r="F8" s="544">
        <v>84.93</v>
      </c>
      <c r="G8" s="757">
        <v>13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2075</v>
      </c>
      <c r="D9" s="269"/>
      <c r="E9" s="757"/>
      <c r="F9" s="544">
        <v>107.8</v>
      </c>
      <c r="G9" s="757">
        <v>30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2075</v>
      </c>
      <c r="D10" s="269"/>
      <c r="E10" s="757"/>
      <c r="F10" s="544">
        <v>72.989999999999995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2072</v>
      </c>
      <c r="D11" s="269"/>
      <c r="E11" s="757"/>
      <c r="F11" s="544">
        <v>90.19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2074</v>
      </c>
      <c r="D12" s="269"/>
      <c r="E12" s="757"/>
      <c r="F12" s="544">
        <v>67.430000000000007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2074</v>
      </c>
      <c r="D13" s="269"/>
      <c r="E13" s="757"/>
      <c r="F13" s="544">
        <v>86.27</v>
      </c>
      <c r="G13" s="757">
        <v>14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2077</v>
      </c>
      <c r="D14" s="269"/>
      <c r="E14" s="757"/>
      <c r="F14" s="544">
        <v>76.849999999999994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2074</v>
      </c>
      <c r="D15" s="269"/>
      <c r="E15" s="757"/>
      <c r="F15" s="544">
        <v>237.01</v>
      </c>
      <c r="G15" s="757">
        <v>126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2079</v>
      </c>
      <c r="D16" s="269"/>
      <c r="E16" s="757"/>
      <c r="F16" s="544">
        <v>111.92</v>
      </c>
      <c r="G16" s="757">
        <v>57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2079</v>
      </c>
      <c r="D17" s="269"/>
      <c r="E17" s="757"/>
      <c r="F17" s="544">
        <v>68.03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218.62</v>
      </c>
      <c r="E19" s="546">
        <f>1715+11</f>
        <v>1726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56.93</v>
      </c>
      <c r="E21" s="546">
        <v>508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18.43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71.849999999999994</v>
      </c>
      <c r="E23" s="546">
        <v>811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625.91</v>
      </c>
      <c r="E24" s="546">
        <f>4800+32</f>
        <v>4832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99.82</v>
      </c>
      <c r="E26" s="546">
        <v>1184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17.010000000000002</v>
      </c>
      <c r="E28" s="546">
        <v>111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201.75</v>
      </c>
      <c r="E29" s="546">
        <f>1470+9</f>
        <v>1479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674.59</v>
      </c>
      <c r="E30" s="546">
        <f>7440+32</f>
        <v>7472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391.84</v>
      </c>
      <c r="E33" s="546">
        <f>3394+17</f>
        <v>3411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16.55</v>
      </c>
      <c r="E35" s="546">
        <v>97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17.48</v>
      </c>
      <c r="E36" s="546">
        <v>118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3833.1</v>
      </c>
      <c r="E37" s="546">
        <f>57200+129</f>
        <v>57329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15.43</v>
      </c>
      <c r="E38" s="546">
        <v>90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405.03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21.24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14.27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1074.69</v>
      </c>
      <c r="E43" s="546">
        <v>11448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10.31</v>
      </c>
      <c r="E45" s="546">
        <v>26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28.19</v>
      </c>
      <c r="E48" s="546">
        <v>221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250.73</v>
      </c>
      <c r="E49" s="546">
        <f>1815+13</f>
        <v>1828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8.32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330.5</v>
      </c>
      <c r="E51" s="546">
        <f>3059+13</f>
        <v>3072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128.33000000000001</v>
      </c>
      <c r="E52" s="546">
        <v>1387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29.43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1025.57</v>
      </c>
      <c r="E54" s="546">
        <f>11820+43</f>
        <v>11863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62.95</v>
      </c>
      <c r="E56" s="546">
        <v>8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1262.1500000000001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932.65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83.31</v>
      </c>
      <c r="E64" s="546">
        <v>1567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603.73</v>
      </c>
      <c r="E65" s="546">
        <f>7526+13</f>
        <v>7539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273.10000000000002</v>
      </c>
      <c r="E66" s="546">
        <f>320+18</f>
        <v>338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264.27</v>
      </c>
      <c r="E67" s="546">
        <f>2141+13</f>
        <v>2154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311</v>
      </c>
      <c r="E69" s="757">
        <v>2090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160</v>
      </c>
      <c r="E70" s="757">
        <v>766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122</v>
      </c>
      <c r="E71" s="757">
        <v>473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72</v>
      </c>
      <c r="E72" s="757">
        <v>244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290</v>
      </c>
      <c r="E74" s="757">
        <v>1772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116</v>
      </c>
      <c r="E75" s="757">
        <v>632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87</v>
      </c>
      <c r="E77" s="757">
        <v>208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83</v>
      </c>
      <c r="E79" s="757">
        <v>327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89</v>
      </c>
      <c r="E80" s="757">
        <v>222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1719</v>
      </c>
      <c r="E81" s="757">
        <v>12480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82</v>
      </c>
      <c r="E84" s="757">
        <v>298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435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288</v>
      </c>
      <c r="E86" s="757">
        <v>1560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264</v>
      </c>
      <c r="E88" s="757">
        <v>1071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135</v>
      </c>
      <c r="E90" s="757">
        <v>374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136</v>
      </c>
      <c r="E91" s="757">
        <v>739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227.14</v>
      </c>
      <c r="E92" s="757">
        <v>1289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2177</v>
      </c>
      <c r="E93" s="757">
        <v>17520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377</v>
      </c>
      <c r="E94" s="757">
        <v>2439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2081</v>
      </c>
      <c r="D96" s="269"/>
      <c r="E96" s="757"/>
      <c r="F96" s="544"/>
      <c r="G96" s="757"/>
      <c r="H96" s="269">
        <v>1142.22</v>
      </c>
      <c r="I96" s="757">
        <v>1520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2081</v>
      </c>
      <c r="D97" s="269"/>
      <c r="E97" s="757"/>
      <c r="F97" s="544"/>
      <c r="G97" s="757"/>
      <c r="H97" s="269">
        <v>239.47</v>
      </c>
      <c r="I97" s="757">
        <v>335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2081</v>
      </c>
      <c r="D98" s="269"/>
      <c r="E98" s="757"/>
      <c r="F98" s="544"/>
      <c r="G98" s="757"/>
      <c r="H98" s="269">
        <v>40.369999999999997</v>
      </c>
      <c r="I98" s="757">
        <v>22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2081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2081</v>
      </c>
      <c r="D100" s="269"/>
      <c r="E100" s="757"/>
      <c r="F100" s="544"/>
      <c r="G100" s="757"/>
      <c r="H100" s="269">
        <v>39.299999999999997</v>
      </c>
      <c r="I100" s="757">
        <v>17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2081</v>
      </c>
      <c r="D101" s="269"/>
      <c r="E101" s="757"/>
      <c r="F101" s="544"/>
      <c r="G101" s="757"/>
      <c r="H101" s="269">
        <v>48.91</v>
      </c>
      <c r="I101" s="757">
        <v>38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2081</v>
      </c>
      <c r="D102" s="269"/>
      <c r="E102" s="757"/>
      <c r="F102" s="544"/>
      <c r="G102" s="757"/>
      <c r="H102" s="269">
        <v>46.78</v>
      </c>
      <c r="I102" s="757">
        <v>34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2081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2081</v>
      </c>
      <c r="D104" s="269"/>
      <c r="E104" s="757"/>
      <c r="F104" s="544"/>
      <c r="G104" s="757"/>
      <c r="H104" s="269">
        <v>131.34</v>
      </c>
      <c r="I104" s="757">
        <v>176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2081</v>
      </c>
      <c r="D105" s="269"/>
      <c r="E105" s="757"/>
      <c r="F105" s="544"/>
      <c r="G105" s="757"/>
      <c r="H105" s="269">
        <v>39.299999999999997</v>
      </c>
      <c r="I105" s="757">
        <v>16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2081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2081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2081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2081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2081</v>
      </c>
      <c r="D110" s="269"/>
      <c r="E110" s="757"/>
      <c r="F110" s="544"/>
      <c r="G110" s="757"/>
      <c r="H110" s="269">
        <v>39.299999999999997</v>
      </c>
      <c r="I110" s="757">
        <v>18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2081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2081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2081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2081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2081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2081</v>
      </c>
      <c r="D116" s="269"/>
      <c r="E116" s="757"/>
      <c r="F116" s="544"/>
      <c r="G116" s="757"/>
      <c r="H116" s="269">
        <v>271.99</v>
      </c>
      <c r="I116" s="757">
        <v>381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2081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2081</v>
      </c>
      <c r="D118" s="269"/>
      <c r="E118" s="757"/>
      <c r="F118" s="544"/>
      <c r="G118" s="757"/>
      <c r="H118" s="269">
        <v>39.299999999999997</v>
      </c>
      <c r="I118" s="757">
        <v>12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2081</v>
      </c>
      <c r="D119" s="269"/>
      <c r="E119" s="757"/>
      <c r="F119" s="544"/>
      <c r="G119" s="757"/>
      <c r="H119" s="269">
        <v>39.299999999999997</v>
      </c>
      <c r="I119" s="757">
        <v>3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2081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2081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2081</v>
      </c>
      <c r="D122" s="269"/>
      <c r="E122" s="757"/>
      <c r="F122" s="544"/>
      <c r="G122" s="757"/>
      <c r="H122" s="269">
        <v>368.81</v>
      </c>
      <c r="I122" s="757">
        <v>509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2081</v>
      </c>
      <c r="D123" s="269"/>
      <c r="E123" s="757"/>
      <c r="F123" s="544"/>
      <c r="G123" s="757"/>
      <c r="H123" s="269">
        <v>77.760000000000005</v>
      </c>
      <c r="I123" s="757">
        <v>47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2081</v>
      </c>
      <c r="D124" s="269"/>
      <c r="E124" s="757"/>
      <c r="F124" s="544"/>
      <c r="G124" s="757"/>
      <c r="H124" s="269">
        <v>40.9</v>
      </c>
      <c r="I124" s="757">
        <v>23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2081</v>
      </c>
      <c r="D125" s="269"/>
      <c r="E125" s="757"/>
      <c r="F125" s="544"/>
      <c r="G125" s="757"/>
      <c r="H125" s="269">
        <v>39.299999999999997</v>
      </c>
      <c r="I125" s="757">
        <v>15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2081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2071</v>
      </c>
      <c r="D127" s="269"/>
      <c r="E127" s="757"/>
      <c r="F127" s="544"/>
      <c r="G127" s="757"/>
      <c r="H127" s="269">
        <v>87.21</v>
      </c>
      <c r="I127" s="757">
        <v>108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2081</v>
      </c>
      <c r="D128" s="269"/>
      <c r="E128" s="757"/>
      <c r="F128" s="544"/>
      <c r="G128" s="757"/>
      <c r="H128" s="269">
        <v>204.82</v>
      </c>
      <c r="I128" s="757">
        <v>286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2071</v>
      </c>
      <c r="D129" s="269"/>
      <c r="E129" s="757"/>
      <c r="F129" s="544"/>
      <c r="G129" s="757"/>
      <c r="H129" s="269">
        <v>124.85</v>
      </c>
      <c r="I129" s="757">
        <v>166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2071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2071</v>
      </c>
      <c r="D131" s="269"/>
      <c r="E131" s="757"/>
      <c r="F131" s="544"/>
      <c r="G131" s="757"/>
      <c r="H131" s="269">
        <v>2653.1</v>
      </c>
      <c r="I131" s="757">
        <v>3495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2071</v>
      </c>
      <c r="D132" s="269"/>
      <c r="E132" s="757"/>
      <c r="F132" s="544"/>
      <c r="G132" s="757"/>
      <c r="H132" s="269">
        <v>53.18</v>
      </c>
      <c r="I132" s="757">
        <v>46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2071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2071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2071</v>
      </c>
      <c r="D135" s="269"/>
      <c r="E135" s="757"/>
      <c r="F135" s="544"/>
      <c r="G135" s="757"/>
      <c r="H135" s="269">
        <v>417.77</v>
      </c>
      <c r="I135" s="757">
        <v>573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2071</v>
      </c>
      <c r="D136" s="269"/>
      <c r="E136" s="757"/>
      <c r="F136" s="544"/>
      <c r="G136" s="757"/>
      <c r="H136" s="269">
        <v>329.79</v>
      </c>
      <c r="I136" s="757">
        <v>458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2071</v>
      </c>
      <c r="D137" s="269"/>
      <c r="E137" s="757"/>
      <c r="F137" s="544"/>
      <c r="G137" s="757"/>
      <c r="H137" s="269">
        <v>381.81</v>
      </c>
      <c r="I137" s="757">
        <v>526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2084</v>
      </c>
      <c r="D139" s="269"/>
      <c r="E139" s="757"/>
      <c r="F139" s="544"/>
      <c r="G139" s="757"/>
      <c r="H139" s="269">
        <v>72</v>
      </c>
      <c r="I139" s="757">
        <v>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2080</v>
      </c>
      <c r="D143" s="269"/>
      <c r="E143" s="757"/>
      <c r="F143" s="544"/>
      <c r="G143" s="757"/>
      <c r="H143" s="269">
        <v>35</v>
      </c>
      <c r="I143" s="757">
        <v>230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2078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33"/>
      <c r="B4" s="1034"/>
      <c r="C4" s="1034"/>
      <c r="D4" s="1034"/>
      <c r="E4" s="1034"/>
      <c r="F4" s="1034"/>
      <c r="G4" s="103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239161</v>
      </c>
      <c r="D13" s="34"/>
      <c r="E13" s="35" t="s">
        <v>33</v>
      </c>
      <c r="F13" s="34"/>
      <c r="G13" s="42">
        <v>24116.080000000002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1252</v>
      </c>
      <c r="D15" s="34"/>
      <c r="E15" s="35" t="s">
        <v>10</v>
      </c>
      <c r="F15" s="34"/>
      <c r="G15" s="42">
        <v>2582.4899999999998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8949</v>
      </c>
      <c r="D17" s="34"/>
      <c r="E17" s="35" t="s">
        <v>278</v>
      </c>
      <c r="F17" s="34"/>
      <c r="G17" s="42">
        <v>8083.7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2060</v>
      </c>
      <c r="D3" s="328"/>
      <c r="E3" s="763"/>
      <c r="F3" s="620">
        <v>1381.33</v>
      </c>
      <c r="G3" s="763">
        <v>1001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2065</v>
      </c>
      <c r="D4" s="269"/>
      <c r="E4" s="757"/>
      <c r="F4" s="544">
        <v>99.6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2062</v>
      </c>
      <c r="D5" s="328"/>
      <c r="E5" s="763"/>
      <c r="F5" s="620">
        <v>116.75</v>
      </c>
      <c r="G5" s="763">
        <v>43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2066</v>
      </c>
      <c r="D6" s="269"/>
      <c r="E6" s="757"/>
      <c r="F6" s="544">
        <v>82.44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2061</v>
      </c>
      <c r="D7" s="269"/>
      <c r="E7" s="757"/>
      <c r="F7" s="544">
        <v>88.94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2064</v>
      </c>
      <c r="D8" s="269"/>
      <c r="E8" s="757"/>
      <c r="F8" s="544">
        <v>78.48</v>
      </c>
      <c r="G8" s="757">
        <v>14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2064</v>
      </c>
      <c r="D9" s="269"/>
      <c r="E9" s="757"/>
      <c r="F9" s="544">
        <v>111.47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2064</v>
      </c>
      <c r="D10" s="269"/>
      <c r="E10" s="757"/>
      <c r="F10" s="544">
        <v>64.95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2061</v>
      </c>
      <c r="D11" s="269"/>
      <c r="E11" s="757"/>
      <c r="F11" s="544">
        <v>92.61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2065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2065</v>
      </c>
      <c r="D13" s="269"/>
      <c r="E13" s="757"/>
      <c r="F13" s="544">
        <v>77.150000000000006</v>
      </c>
      <c r="G13" s="757">
        <v>13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2066</v>
      </c>
      <c r="D14" s="269"/>
      <c r="E14" s="757"/>
      <c r="F14" s="544">
        <v>70.55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2065</v>
      </c>
      <c r="D15" s="269"/>
      <c r="E15" s="757"/>
      <c r="F15" s="544">
        <v>133.91999999999999</v>
      </c>
      <c r="G15" s="757">
        <v>56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2067</v>
      </c>
      <c r="D16" s="269"/>
      <c r="E16" s="757"/>
      <c r="F16" s="544">
        <v>56.87</v>
      </c>
      <c r="G16" s="757">
        <v>20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2067</v>
      </c>
      <c r="D17" s="269"/>
      <c r="E17" s="757"/>
      <c r="F17" s="544">
        <v>67.430000000000007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215.05</v>
      </c>
      <c r="E19" s="546">
        <f>1887+11</f>
        <v>1898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73.849999999999994</v>
      </c>
      <c r="E21" s="546">
        <v>903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18.350000000000001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78.569999999999993</v>
      </c>
      <c r="E23" s="546">
        <v>946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847.53</v>
      </c>
      <c r="E24" s="546">
        <v>8646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114.19</v>
      </c>
      <c r="E26" s="546">
        <v>1412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18.600000000000001</v>
      </c>
      <c r="E28" s="546">
        <v>136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255.32</v>
      </c>
      <c r="E29" s="546">
        <f>2506+12</f>
        <v>2518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655.27</v>
      </c>
      <c r="E30" s="546">
        <f>8630+31</f>
        <v>8661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522.88</v>
      </c>
      <c r="E33" s="546">
        <f>5698+26</f>
        <v>5724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13.6</v>
      </c>
      <c r="E35" s="546">
        <v>66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18.600000000000001</v>
      </c>
      <c r="E36" s="546">
        <v>137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4646.8100000000004</v>
      </c>
      <c r="E37" s="546">
        <f>80300+157</f>
        <v>80457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14.67</v>
      </c>
      <c r="E38" s="546">
        <v>84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77.73</v>
      </c>
      <c r="E39" s="546">
        <v>600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21.16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18.72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1363.33</v>
      </c>
      <c r="E43" s="546">
        <f>16020+70</f>
        <v>16090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10.15</v>
      </c>
      <c r="E45" s="546">
        <v>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112.93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9.41</v>
      </c>
      <c r="E47" s="546">
        <v>15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104.55</v>
      </c>
      <c r="E48" s="546">
        <v>1290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302.88</v>
      </c>
      <c r="E49" s="546">
        <f>2809+16</f>
        <v>2825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8.3000000000000007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419.18</v>
      </c>
      <c r="E51" s="546">
        <f>5479+17</f>
        <v>5496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184.21</v>
      </c>
      <c r="E52" s="546">
        <v>2188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/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1166.3</v>
      </c>
      <c r="E54" s="546">
        <f>15360+59</f>
        <v>15419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40.99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1256.92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474.06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290.12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959.01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81.599999999999994</v>
      </c>
      <c r="E64" s="546">
        <v>213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578.45000000000005</v>
      </c>
      <c r="E65" s="546">
        <f>7920+13</f>
        <v>7933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194.44</v>
      </c>
      <c r="E66" s="546">
        <f>480+11</f>
        <v>491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321.35000000000002</v>
      </c>
      <c r="E67" s="546">
        <f>2289+19</f>
        <v>2308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439</v>
      </c>
      <c r="E69" s="757">
        <v>3076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137</v>
      </c>
      <c r="E70" s="757">
        <v>587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113</v>
      </c>
      <c r="E71" s="757">
        <v>402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184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247</v>
      </c>
      <c r="E74" s="757">
        <v>1442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190</v>
      </c>
      <c r="E75" s="757">
        <v>1196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67</v>
      </c>
      <c r="E76" s="757">
        <v>206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102</v>
      </c>
      <c r="E77" s="757">
        <v>320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81</v>
      </c>
      <c r="E79" s="757">
        <v>309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83</v>
      </c>
      <c r="E80" s="757">
        <v>175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1766</v>
      </c>
      <c r="E81" s="757">
        <v>12840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46</v>
      </c>
      <c r="E84" s="757">
        <v>19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396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334</v>
      </c>
      <c r="E86" s="757">
        <v>1920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276</v>
      </c>
      <c r="E88" s="757">
        <v>1163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143</v>
      </c>
      <c r="E91" s="757">
        <v>789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236.86</v>
      </c>
      <c r="E92" s="757">
        <v>1364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2362</v>
      </c>
      <c r="E93" s="757">
        <v>19680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402</v>
      </c>
      <c r="E94" s="757">
        <v>2634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856.11</v>
      </c>
      <c r="I96" s="757">
        <v>1146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224.62</v>
      </c>
      <c r="I97" s="757">
        <v>314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8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57.46</v>
      </c>
      <c r="I99" s="757">
        <v>54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39.299999999999997</v>
      </c>
      <c r="I100" s="757">
        <v>17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62.8</v>
      </c>
      <c r="I101" s="757">
        <v>64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85.911000000000001</v>
      </c>
      <c r="I102" s="757">
        <v>106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1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13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17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43.57</v>
      </c>
      <c r="I106" s="757">
        <v>28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77.209999999999994</v>
      </c>
      <c r="I108" s="757">
        <v>91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89.81</v>
      </c>
      <c r="I110" s="757">
        <v>112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209.77</v>
      </c>
      <c r="I116" s="757">
        <v>293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752.07</v>
      </c>
      <c r="I122" s="757">
        <v>1010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279.02999999999997</v>
      </c>
      <c r="I123" s="757">
        <v>262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2068</v>
      </c>
      <c r="D124" s="269"/>
      <c r="E124" s="757"/>
      <c r="F124" s="544"/>
      <c r="G124" s="757"/>
      <c r="H124" s="269">
        <v>50.51</v>
      </c>
      <c r="I124" s="757">
        <v>41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2059</v>
      </c>
      <c r="D127" s="269"/>
      <c r="E127" s="757"/>
      <c r="F127" s="544"/>
      <c r="G127" s="757"/>
      <c r="H127" s="269">
        <v>77.209999999999994</v>
      </c>
      <c r="I127" s="757">
        <v>91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2068</v>
      </c>
      <c r="D128" s="269"/>
      <c r="E128" s="757"/>
      <c r="F128" s="544"/>
      <c r="G128" s="757"/>
      <c r="H128" s="269">
        <v>163.15</v>
      </c>
      <c r="I128" s="757">
        <v>225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2059</v>
      </c>
      <c r="D129" s="269"/>
      <c r="E129" s="757"/>
      <c r="F129" s="544"/>
      <c r="G129" s="757"/>
      <c r="H129" s="269">
        <v>748.25</v>
      </c>
      <c r="I129" s="757">
        <v>9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2059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2059</v>
      </c>
      <c r="D131" s="269"/>
      <c r="E131" s="757"/>
      <c r="F131" s="544"/>
      <c r="G131" s="757"/>
      <c r="H131" s="269">
        <v>2513.1</v>
      </c>
      <c r="I131" s="757">
        <v>3312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2059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2059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2059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2059</v>
      </c>
      <c r="D135" s="269"/>
      <c r="E135" s="757"/>
      <c r="F135" s="544"/>
      <c r="G135" s="757"/>
      <c r="H135" s="269">
        <v>306.83999999999997</v>
      </c>
      <c r="I135" s="757">
        <v>428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2059</v>
      </c>
      <c r="D136" s="269"/>
      <c r="E136" s="757"/>
      <c r="F136" s="544"/>
      <c r="G136" s="757"/>
      <c r="H136" s="269">
        <v>294.60000000000002</v>
      </c>
      <c r="I136" s="757">
        <v>412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2059</v>
      </c>
      <c r="D137" s="269"/>
      <c r="E137" s="757"/>
      <c r="F137" s="544"/>
      <c r="G137" s="757"/>
      <c r="H137" s="269">
        <v>180.78</v>
      </c>
      <c r="I137" s="757">
        <v>252</v>
      </c>
      <c r="J137" s="245"/>
      <c r="K137" s="1032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2070</v>
      </c>
      <c r="D139" s="269"/>
      <c r="E139" s="757"/>
      <c r="F139" s="544"/>
      <c r="G139" s="757"/>
      <c r="H139" s="269">
        <v>72</v>
      </c>
      <c r="I139" s="757">
        <v>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2069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2063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29"/>
      <c r="B4" s="1030"/>
      <c r="C4" s="1030"/>
      <c r="D4" s="1030"/>
      <c r="E4" s="1030"/>
      <c r="F4" s="1030"/>
      <c r="G4" s="103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255837</v>
      </c>
      <c r="D13" s="34"/>
      <c r="E13" s="35" t="s">
        <v>33</v>
      </c>
      <c r="F13" s="34"/>
      <c r="G13" s="42">
        <v>25801.35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1166</v>
      </c>
      <c r="D15" s="34"/>
      <c r="E15" s="35" t="s">
        <v>10</v>
      </c>
      <c r="F15" s="34"/>
      <c r="G15" s="42">
        <v>2427.83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8617</v>
      </c>
      <c r="D17" s="34"/>
      <c r="E17" s="35" t="s">
        <v>278</v>
      </c>
      <c r="F17" s="34"/>
      <c r="G17" s="42">
        <v>6527.65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692" customWidth="1"/>
    <col min="4" max="4" width="10.85546875" style="544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693" t="s">
        <v>1138</v>
      </c>
      <c r="D1" s="704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1072"/>
      <c r="D2" s="543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1073" t="s">
        <v>2235</v>
      </c>
      <c r="D3" s="620"/>
      <c r="E3" s="763"/>
      <c r="F3" s="620">
        <v>1086.4100000000001</v>
      </c>
      <c r="G3" s="763">
        <v>1052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1074" t="s">
        <v>2236</v>
      </c>
      <c r="D4" s="544"/>
      <c r="E4" s="757"/>
      <c r="F4" s="544">
        <v>106.87</v>
      </c>
      <c r="G4" s="757">
        <v>31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1073" t="s">
        <v>2238</v>
      </c>
      <c r="D5" s="620"/>
      <c r="E5" s="763"/>
      <c r="F5" s="620">
        <v>92.46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692" t="s">
        <v>2239</v>
      </c>
      <c r="D6" s="544"/>
      <c r="E6" s="757"/>
      <c r="F6" s="544">
        <v>90.55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692" t="s">
        <v>2235</v>
      </c>
      <c r="D7" s="544"/>
      <c r="E7" s="757"/>
      <c r="F7" s="544">
        <v>104.78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1074" t="s">
        <v>2236</v>
      </c>
      <c r="D8" s="544"/>
      <c r="E8" s="757"/>
      <c r="F8" s="544">
        <v>65.78</v>
      </c>
      <c r="G8" s="757">
        <v>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692" t="s">
        <v>2237</v>
      </c>
      <c r="D9" s="544"/>
      <c r="E9" s="757"/>
      <c r="F9" s="544">
        <v>108.78</v>
      </c>
      <c r="G9" s="757">
        <v>33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692" t="s">
        <v>2236</v>
      </c>
      <c r="D10" s="544"/>
      <c r="E10" s="757"/>
      <c r="F10" s="544">
        <v>60.46</v>
      </c>
      <c r="G10" s="757">
        <v>13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1075" t="s">
        <v>2240</v>
      </c>
      <c r="D11" s="544"/>
      <c r="E11" s="757"/>
      <c r="F11" s="544">
        <v>107.26</v>
      </c>
      <c r="G11" s="757">
        <v>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692" t="s">
        <v>2236</v>
      </c>
      <c r="D12" s="544"/>
      <c r="E12" s="757"/>
      <c r="F12" s="544">
        <v>77.12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692" t="s">
        <v>2236</v>
      </c>
      <c r="D13" s="544"/>
      <c r="E13" s="757"/>
      <c r="F13" s="544">
        <v>85.76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692" t="s">
        <v>2239</v>
      </c>
      <c r="D14" s="544"/>
      <c r="E14" s="757"/>
      <c r="F14" s="544">
        <v>83.84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1074" t="s">
        <v>2236</v>
      </c>
      <c r="D15" s="544"/>
      <c r="E15" s="757"/>
      <c r="F15" s="544">
        <v>195.14</v>
      </c>
      <c r="G15" s="757">
        <v>123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1074" t="s">
        <v>2249</v>
      </c>
      <c r="D16" s="544"/>
      <c r="E16" s="757"/>
      <c r="F16" s="544">
        <v>58.62</v>
      </c>
      <c r="G16" s="757">
        <v>25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1074" t="s">
        <v>2249</v>
      </c>
      <c r="D17" s="544"/>
      <c r="E17" s="757"/>
      <c r="F17" s="544">
        <v>97.25</v>
      </c>
      <c r="G17" s="757">
        <v>21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1076"/>
      <c r="D18" s="860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686" t="s">
        <v>2251</v>
      </c>
      <c r="D19" s="1081">
        <v>225.79</v>
      </c>
      <c r="E19" s="547">
        <v>2159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1077" t="s">
        <v>2252</v>
      </c>
      <c r="D20" s="1081">
        <v>6.88</v>
      </c>
      <c r="E20" s="547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686" t="s">
        <v>2251</v>
      </c>
      <c r="D21" s="1081">
        <v>44.24</v>
      </c>
      <c r="E21" s="547">
        <v>504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686" t="s">
        <v>2251</v>
      </c>
      <c r="D22" s="1081">
        <v>17.36</v>
      </c>
      <c r="E22" s="547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686" t="s">
        <v>2251</v>
      </c>
      <c r="D23" s="1081">
        <v>70.48</v>
      </c>
      <c r="E23" s="547">
        <v>839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686" t="s">
        <v>2252</v>
      </c>
      <c r="D24" s="1081">
        <v>772.83</v>
      </c>
      <c r="E24" s="547">
        <v>6922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686" t="s">
        <v>2252</v>
      </c>
      <c r="D25" s="1081">
        <v>13.65</v>
      </c>
      <c r="E25" s="547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1077" t="s">
        <v>2253</v>
      </c>
      <c r="D26" s="1081">
        <v>149.58000000000001</v>
      </c>
      <c r="E26" s="547">
        <v>867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686" t="s">
        <v>2253</v>
      </c>
      <c r="D27" s="1081">
        <v>17.68</v>
      </c>
      <c r="E27" s="547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686" t="s">
        <v>2253</v>
      </c>
      <c r="D28" s="1081">
        <v>15.61</v>
      </c>
      <c r="E28" s="547">
        <v>114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686" t="s">
        <v>2254</v>
      </c>
      <c r="D29" s="1081">
        <v>235.16</v>
      </c>
      <c r="E29" s="547">
        <v>1735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686" t="s">
        <v>2251</v>
      </c>
      <c r="D30" s="1081">
        <v>598.25</v>
      </c>
      <c r="E30" s="547">
        <v>7147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686" t="s">
        <v>2251</v>
      </c>
      <c r="D31" s="1081">
        <v>17.71</v>
      </c>
      <c r="E31" s="547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686" t="s">
        <v>2254</v>
      </c>
      <c r="D32" s="1081">
        <v>22.28</v>
      </c>
      <c r="E32" s="547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686" t="s">
        <v>2252</v>
      </c>
      <c r="D33" s="1081">
        <v>383.11</v>
      </c>
      <c r="E33" s="547">
        <v>3483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686" t="s">
        <v>2252</v>
      </c>
      <c r="D34" s="1081">
        <v>10.94</v>
      </c>
      <c r="E34" s="547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686" t="s">
        <v>2255</v>
      </c>
      <c r="D35" s="1081">
        <v>179.28</v>
      </c>
      <c r="E35" s="547">
        <v>534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686" t="s">
        <v>2255</v>
      </c>
      <c r="D36" s="1081">
        <v>18.63</v>
      </c>
      <c r="E36" s="547">
        <v>154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686" t="s">
        <v>2255</v>
      </c>
      <c r="D37" s="1081">
        <v>3854.56</v>
      </c>
      <c r="E37" s="547">
        <v>63534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686" t="s">
        <v>2255</v>
      </c>
      <c r="D38" s="1081">
        <v>25.85</v>
      </c>
      <c r="E38" s="547">
        <v>250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686" t="s">
        <v>2255</v>
      </c>
      <c r="D39" s="1081">
        <v>54.32</v>
      </c>
      <c r="E39" s="547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686" t="s">
        <v>2252</v>
      </c>
      <c r="D40" s="1081">
        <v>20.22</v>
      </c>
      <c r="E40" s="547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686" t="s">
        <v>2252</v>
      </c>
      <c r="D41" s="1081">
        <v>14.82</v>
      </c>
      <c r="E41" s="547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686" t="s">
        <v>2252</v>
      </c>
      <c r="D42" s="1081">
        <v>17.75</v>
      </c>
      <c r="E42" s="547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686" t="s">
        <v>2252</v>
      </c>
      <c r="D43" s="1081">
        <v>1156.72</v>
      </c>
      <c r="E43" s="547">
        <v>11582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686" t="s">
        <v>2252</v>
      </c>
      <c r="D44" s="1081">
        <v>10.94</v>
      </c>
      <c r="E44" s="547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686" t="s">
        <v>2256</v>
      </c>
      <c r="D45" s="1081">
        <v>9.74</v>
      </c>
      <c r="E45" s="547">
        <v>36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686" t="s">
        <v>2256</v>
      </c>
      <c r="D46" s="1081">
        <v>107.45</v>
      </c>
      <c r="E46" s="547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686" t="s">
        <v>2256</v>
      </c>
      <c r="D47" s="1081">
        <v>7.16</v>
      </c>
      <c r="E47" s="547">
        <v>2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686" t="s">
        <v>2253</v>
      </c>
      <c r="D48" s="1081">
        <v>78.540000000000006</v>
      </c>
      <c r="E48" s="547">
        <v>949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686" t="s">
        <v>2252</v>
      </c>
      <c r="D49" s="1081">
        <v>265.52</v>
      </c>
      <c r="E49" s="547">
        <v>1974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686" t="s">
        <v>2252</v>
      </c>
      <c r="D50" s="1081">
        <v>10.1</v>
      </c>
      <c r="E50" s="547">
        <v>41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686" t="s">
        <v>2255</v>
      </c>
      <c r="D51" s="1081">
        <v>319.77999999999997</v>
      </c>
      <c r="E51" s="547">
        <v>3442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686" t="s">
        <v>2255</v>
      </c>
      <c r="D52" s="1081">
        <v>163.74</v>
      </c>
      <c r="E52" s="547">
        <v>1805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686" t="s">
        <v>2252</v>
      </c>
      <c r="D53" s="1081">
        <v>185.81</v>
      </c>
      <c r="E53" s="547">
        <v>630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686" t="s">
        <v>2252</v>
      </c>
      <c r="D54" s="1081">
        <v>1022.44</v>
      </c>
      <c r="E54" s="547">
        <v>12649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686" t="s">
        <v>2257</v>
      </c>
      <c r="D55" s="1081">
        <v>7.02</v>
      </c>
      <c r="E55" s="547">
        <v>2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686" t="s">
        <v>2254</v>
      </c>
      <c r="D56" s="1081">
        <v>76.69</v>
      </c>
      <c r="E56" s="547">
        <v>39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686" t="s">
        <v>2252</v>
      </c>
      <c r="D57" s="1081">
        <v>1183.6300000000001</v>
      </c>
      <c r="E57" s="547">
        <v>9450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686" t="s">
        <v>2252</v>
      </c>
      <c r="D58" s="1081">
        <v>428.33</v>
      </c>
      <c r="E58" s="547">
        <v>2400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686" t="s">
        <v>2252</v>
      </c>
      <c r="D59" s="1081">
        <v>23.09</v>
      </c>
      <c r="E59" s="547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686" t="s">
        <v>2252</v>
      </c>
      <c r="D60" s="1081">
        <v>293.82</v>
      </c>
      <c r="E60" s="547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686" t="s">
        <v>2252</v>
      </c>
      <c r="D61" s="1081">
        <v>208.43</v>
      </c>
      <c r="E61" s="547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686" t="s">
        <v>2252</v>
      </c>
      <c r="D62" s="1081">
        <v>770.33</v>
      </c>
      <c r="E62" s="547">
        <v>4080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686" t="s">
        <v>2255</v>
      </c>
      <c r="D63" s="1081">
        <v>6.88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686" t="s">
        <v>2254</v>
      </c>
      <c r="D64" s="1081">
        <v>88.01</v>
      </c>
      <c r="E64" s="547">
        <v>513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686" t="s">
        <v>2254</v>
      </c>
      <c r="D65" s="1081">
        <v>636.29</v>
      </c>
      <c r="E65" s="547">
        <v>8629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686" t="s">
        <v>2254</v>
      </c>
      <c r="D66" s="1081">
        <v>318.32</v>
      </c>
      <c r="E66" s="547">
        <v>662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686" t="s">
        <v>2251</v>
      </c>
      <c r="D67" s="1081">
        <v>262.08999999999997</v>
      </c>
      <c r="E67" s="547">
        <v>2583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1072"/>
      <c r="D68" s="543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1074" t="s">
        <v>2243</v>
      </c>
      <c r="D69" s="544">
        <v>291</v>
      </c>
      <c r="E69" s="757">
        <v>2511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1074" t="s">
        <v>2243</v>
      </c>
      <c r="D70" s="544">
        <v>162</v>
      </c>
      <c r="E70" s="757">
        <v>1023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1074" t="s">
        <v>2243</v>
      </c>
      <c r="D71" s="544">
        <v>104</v>
      </c>
      <c r="E71" s="757">
        <v>433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1074" t="s">
        <v>2241</v>
      </c>
      <c r="D72" s="544">
        <v>52</v>
      </c>
      <c r="E72" s="757">
        <v>111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1074" t="s">
        <v>2243</v>
      </c>
      <c r="D73" s="544">
        <v>40</v>
      </c>
      <c r="E73" s="757">
        <v>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1074" t="s">
        <v>2241</v>
      </c>
      <c r="D74" s="544">
        <v>334</v>
      </c>
      <c r="E74" s="757">
        <v>2748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1074" t="s">
        <v>2241</v>
      </c>
      <c r="D75" s="544">
        <v>144</v>
      </c>
      <c r="E75" s="757">
        <v>1096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1074" t="s">
        <v>2243</v>
      </c>
      <c r="D76" s="544">
        <v>70</v>
      </c>
      <c r="E76" s="757">
        <v>293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1074" t="s">
        <v>2243</v>
      </c>
      <c r="D77" s="544">
        <v>173</v>
      </c>
      <c r="E77" s="757">
        <v>1127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1074" t="s">
        <v>2241</v>
      </c>
      <c r="D78" s="544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1074" t="s">
        <v>2241</v>
      </c>
      <c r="D79" s="544">
        <v>53</v>
      </c>
      <c r="E79" s="757">
        <v>124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1074" t="s">
        <v>2243</v>
      </c>
      <c r="D80" s="544">
        <v>80</v>
      </c>
      <c r="E80" s="757">
        <v>195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2242</v>
      </c>
      <c r="B81" s="681" t="s">
        <v>202</v>
      </c>
      <c r="C81" s="1074" t="s">
        <v>2243</v>
      </c>
      <c r="D81" s="544">
        <v>1151</v>
      </c>
      <c r="E81" s="757">
        <v>9840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761" t="s">
        <v>2246</v>
      </c>
      <c r="B82" s="769" t="s">
        <v>204</v>
      </c>
      <c r="C82" s="692" t="s">
        <v>2241</v>
      </c>
      <c r="D82" s="544">
        <v>101</v>
      </c>
      <c r="E82" s="757">
        <v>3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692" t="s">
        <v>2243</v>
      </c>
      <c r="D83" s="544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692" t="s">
        <v>2243</v>
      </c>
      <c r="D84" s="544">
        <v>43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692" t="s">
        <v>2241</v>
      </c>
      <c r="D85" s="544">
        <v>325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1074" t="s">
        <v>2241</v>
      </c>
      <c r="D86" s="544">
        <v>217</v>
      </c>
      <c r="E86" s="757">
        <v>1320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2245</v>
      </c>
      <c r="B87" s="769" t="s">
        <v>200</v>
      </c>
      <c r="C87" s="1080" t="s">
        <v>2243</v>
      </c>
      <c r="D87" s="620">
        <v>286</v>
      </c>
      <c r="E87" s="763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692" t="s">
        <v>2244</v>
      </c>
      <c r="D88" s="544">
        <v>223</v>
      </c>
      <c r="E88" s="757">
        <v>1032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692" t="s">
        <v>2241</v>
      </c>
      <c r="D89" s="544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692" t="s">
        <v>2243</v>
      </c>
      <c r="D90" s="544">
        <v>132</v>
      </c>
      <c r="E90" s="757">
        <v>519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1074" t="s">
        <v>2243</v>
      </c>
      <c r="D91" s="544">
        <v>40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1074" t="s">
        <v>2243</v>
      </c>
      <c r="D92" s="544">
        <v>292.72000000000003</v>
      </c>
      <c r="E92" s="757">
        <v>2335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1074" t="s">
        <v>2243</v>
      </c>
      <c r="D93" s="544">
        <v>1675</v>
      </c>
      <c r="E93" s="757">
        <v>16080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1074" t="s">
        <v>2243</v>
      </c>
      <c r="D94" s="544">
        <v>116</v>
      </c>
      <c r="E94" s="757">
        <v>552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1072"/>
      <c r="D95" s="543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692" t="s">
        <v>2243</v>
      </c>
      <c r="D96" s="544"/>
      <c r="E96" s="757"/>
      <c r="F96" s="544"/>
      <c r="G96" s="757"/>
      <c r="H96" s="269">
        <v>80.42</v>
      </c>
      <c r="I96" s="757">
        <v>97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1074" t="s">
        <v>2243</v>
      </c>
      <c r="D97" s="544"/>
      <c r="E97" s="757"/>
      <c r="F97" s="544"/>
      <c r="G97" s="757"/>
      <c r="H97" s="269">
        <v>202.7</v>
      </c>
      <c r="I97" s="757">
        <v>283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692" t="s">
        <v>2243</v>
      </c>
      <c r="D98" s="544"/>
      <c r="E98" s="757"/>
      <c r="F98" s="544"/>
      <c r="G98" s="757"/>
      <c r="H98" s="269">
        <v>39.299999999999997</v>
      </c>
      <c r="I98" s="757">
        <v>20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692" t="s">
        <v>2243</v>
      </c>
      <c r="D99" s="544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692" t="s">
        <v>2243</v>
      </c>
      <c r="D100" s="544"/>
      <c r="E100" s="757"/>
      <c r="F100" s="544"/>
      <c r="G100" s="757"/>
      <c r="H100" s="269">
        <v>43.04</v>
      </c>
      <c r="I100" s="757">
        <v>27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692" t="s">
        <v>2243</v>
      </c>
      <c r="D101" s="544"/>
      <c r="E101" s="757"/>
      <c r="F101" s="544"/>
      <c r="G101" s="757"/>
      <c r="H101" s="269">
        <v>55.85</v>
      </c>
      <c r="I101" s="757">
        <v>51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692" t="s">
        <v>2243</v>
      </c>
      <c r="D102" s="544"/>
      <c r="E102" s="757"/>
      <c r="F102" s="544"/>
      <c r="G102" s="757"/>
      <c r="H102" s="269">
        <v>70.81</v>
      </c>
      <c r="I102" s="757">
        <v>79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692" t="s">
        <v>2243</v>
      </c>
      <c r="D103" s="544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692" t="s">
        <v>2243</v>
      </c>
      <c r="D104" s="544"/>
      <c r="E104" s="757"/>
      <c r="F104" s="544"/>
      <c r="G104" s="757"/>
      <c r="H104" s="269">
        <v>144.32</v>
      </c>
      <c r="I104" s="757">
        <v>196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692" t="s">
        <v>2243</v>
      </c>
      <c r="D105" s="544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1074" t="s">
        <v>2243</v>
      </c>
      <c r="D106" s="544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64" t="s">
        <v>80</v>
      </c>
      <c r="B107" s="681" t="s">
        <v>177</v>
      </c>
      <c r="C107" s="1074" t="s">
        <v>2243</v>
      </c>
      <c r="D107" s="542"/>
      <c r="E107" s="749"/>
      <c r="F107" s="542"/>
      <c r="G107" s="749"/>
      <c r="H107" s="269">
        <v>45.71</v>
      </c>
      <c r="I107" s="757">
        <v>32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692" t="s">
        <v>2243</v>
      </c>
      <c r="D108" s="544"/>
      <c r="E108" s="757"/>
      <c r="F108" s="544"/>
      <c r="G108" s="757"/>
      <c r="H108" s="269">
        <v>51.05</v>
      </c>
      <c r="I108" s="757">
        <v>42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692" t="s">
        <v>2243</v>
      </c>
      <c r="D109" s="544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692" t="s">
        <v>2243</v>
      </c>
      <c r="D110" s="544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1074" t="s">
        <v>2243</v>
      </c>
      <c r="D111" s="544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692" t="s">
        <v>2243</v>
      </c>
      <c r="D112" s="544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692" t="s">
        <v>2243</v>
      </c>
      <c r="D113" s="544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692" t="s">
        <v>2243</v>
      </c>
      <c r="D114" s="544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1074" t="s">
        <v>2243</v>
      </c>
      <c r="D115" s="544"/>
      <c r="E115" s="757"/>
      <c r="F115" s="544"/>
      <c r="G115" s="757"/>
      <c r="H115" s="269">
        <v>749.01</v>
      </c>
      <c r="I115" s="757">
        <v>1006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692" t="s">
        <v>2243</v>
      </c>
      <c r="D116" s="544"/>
      <c r="E116" s="757"/>
      <c r="F116" s="544"/>
      <c r="G116" s="757"/>
      <c r="H116" s="269">
        <v>178.72</v>
      </c>
      <c r="I116" s="757">
        <v>249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692" t="s">
        <v>2243</v>
      </c>
      <c r="D117" s="544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692" t="s">
        <v>2243</v>
      </c>
      <c r="D118" s="544"/>
      <c r="E118" s="757"/>
      <c r="F118" s="544"/>
      <c r="G118" s="757"/>
      <c r="H118" s="269">
        <v>206.24</v>
      </c>
      <c r="I118" s="757">
        <v>288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692" t="s">
        <v>2243</v>
      </c>
      <c r="D119" s="544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692" t="s">
        <v>2248</v>
      </c>
      <c r="D120" s="544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692" t="s">
        <v>2243</v>
      </c>
      <c r="D121" s="544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692" t="s">
        <v>2243</v>
      </c>
      <c r="D122" s="544"/>
      <c r="E122" s="757"/>
      <c r="F122" s="544"/>
      <c r="G122" s="757"/>
      <c r="H122" s="269">
        <v>555.47</v>
      </c>
      <c r="I122" s="757">
        <v>753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692" t="s">
        <v>2243</v>
      </c>
      <c r="D123" s="544"/>
      <c r="E123" s="757"/>
      <c r="F123" s="544"/>
      <c r="G123" s="757"/>
      <c r="H123" s="269">
        <v>56.13</v>
      </c>
      <c r="I123" s="757">
        <v>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692" t="s">
        <v>2243</v>
      </c>
      <c r="D124" s="544"/>
      <c r="E124" s="757"/>
      <c r="F124" s="544"/>
      <c r="G124" s="757"/>
      <c r="H124" s="269">
        <v>63.86</v>
      </c>
      <c r="I124" s="757">
        <v>66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692" t="s">
        <v>2243</v>
      </c>
      <c r="D125" s="544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692" t="s">
        <v>2243</v>
      </c>
      <c r="D126" s="544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692" t="s">
        <v>2226</v>
      </c>
      <c r="D127" s="544"/>
      <c r="E127" s="757"/>
      <c r="F127" s="544"/>
      <c r="G127" s="757"/>
      <c r="H127" s="269">
        <v>41.44</v>
      </c>
      <c r="I127" s="757">
        <v>24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1074" t="s">
        <v>2243</v>
      </c>
      <c r="D128" s="544"/>
      <c r="E128" s="757"/>
      <c r="F128" s="544"/>
      <c r="G128" s="757"/>
      <c r="H128" s="269">
        <v>143.68</v>
      </c>
      <c r="I128" s="757">
        <v>195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1074" t="s">
        <v>2226</v>
      </c>
      <c r="D129" s="544"/>
      <c r="E129" s="757"/>
      <c r="F129" s="544"/>
      <c r="G129" s="757"/>
      <c r="H129" s="269">
        <v>1514.01</v>
      </c>
      <c r="I129" s="757">
        <v>2006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692" t="s">
        <v>2226</v>
      </c>
      <c r="D130" s="544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692" t="s">
        <v>2226</v>
      </c>
      <c r="D131" s="544"/>
      <c r="E131" s="757"/>
      <c r="F131" s="544"/>
      <c r="G131" s="757"/>
      <c r="H131" s="269">
        <v>3237.56</v>
      </c>
      <c r="I131" s="757">
        <v>4259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692" t="s">
        <v>2226</v>
      </c>
      <c r="D132" s="544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692" t="s">
        <v>2226</v>
      </c>
      <c r="D133" s="544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692" t="s">
        <v>2226</v>
      </c>
      <c r="D134" s="544"/>
      <c r="E134" s="757"/>
      <c r="F134" s="544"/>
      <c r="G134" s="757"/>
      <c r="H134" s="269">
        <v>39.299999999999997</v>
      </c>
      <c r="I134" s="757">
        <v>15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692" t="s">
        <v>2226</v>
      </c>
      <c r="D135" s="544"/>
      <c r="E135" s="757"/>
      <c r="F135" s="544"/>
      <c r="G135" s="757"/>
      <c r="H135" s="269">
        <v>813.27</v>
      </c>
      <c r="I135" s="757">
        <v>1090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692" t="s">
        <v>2226</v>
      </c>
      <c r="D136" s="544"/>
      <c r="E136" s="757"/>
      <c r="F136" s="544"/>
      <c r="G136" s="757"/>
      <c r="H136" s="269">
        <v>228.15</v>
      </c>
      <c r="I136" s="757">
        <v>319</v>
      </c>
      <c r="J136" s="245"/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692" t="s">
        <v>2226</v>
      </c>
      <c r="D137" s="544"/>
      <c r="E137" s="757"/>
      <c r="F137" s="544"/>
      <c r="G137" s="757"/>
      <c r="H137" s="269">
        <v>259.97000000000003</v>
      </c>
      <c r="I137" s="757">
        <v>364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1072"/>
      <c r="D138" s="543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692"/>
      <c r="D139" s="544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1072"/>
      <c r="D140" s="543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1078"/>
      <c r="D141" s="717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1072"/>
      <c r="D142" s="543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1074" t="s">
        <v>2247</v>
      </c>
      <c r="D143" s="544"/>
      <c r="E143" s="757"/>
      <c r="F143" s="544"/>
      <c r="G143" s="757"/>
      <c r="H143" s="269">
        <v>0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1079" t="s">
        <v>2250</v>
      </c>
      <c r="D144" s="543"/>
      <c r="E144" s="750"/>
      <c r="F144" s="543"/>
      <c r="G144" s="750"/>
      <c r="H144" s="250">
        <v>12.61</v>
      </c>
      <c r="I144" s="750">
        <v>10740</v>
      </c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1074"/>
      <c r="D145" s="544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715"/>
      <c r="D146" s="717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692"/>
      <c r="D147" s="544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692"/>
      <c r="D148" s="544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692"/>
      <c r="D149" s="544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692"/>
      <c r="D150" s="544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692"/>
      <c r="D151" s="544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692"/>
      <c r="D152" s="544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692"/>
      <c r="D153" s="544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692"/>
      <c r="D154" s="544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692"/>
      <c r="D155" s="544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692"/>
      <c r="D156" s="544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692"/>
      <c r="D157" s="544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692"/>
      <c r="D158" s="544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692"/>
      <c r="D159" s="544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692"/>
      <c r="D160" s="544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692"/>
      <c r="D161" s="544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692"/>
      <c r="D162" s="544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692"/>
      <c r="D163" s="544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692"/>
      <c r="D164" s="544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692"/>
      <c r="D165" s="544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692"/>
      <c r="D166" s="544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692"/>
      <c r="D167" s="544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692"/>
      <c r="D168" s="544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692"/>
      <c r="D169" s="544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692"/>
      <c r="D170" s="544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692"/>
      <c r="D171" s="544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692"/>
      <c r="D172" s="544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692"/>
      <c r="D173" s="544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692"/>
      <c r="D174" s="544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692"/>
      <c r="D175" s="544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692"/>
      <c r="D176" s="544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692"/>
      <c r="D177" s="544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692"/>
      <c r="D178" s="544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692"/>
      <c r="D179" s="544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692"/>
      <c r="D180" s="544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692"/>
      <c r="D181" s="544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692"/>
      <c r="D182" s="544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692"/>
      <c r="D183" s="544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692"/>
      <c r="D184" s="544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692"/>
      <c r="D185" s="544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692"/>
      <c r="D186" s="544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692"/>
      <c r="D187" s="544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692"/>
      <c r="D188" s="544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692"/>
      <c r="D189" s="544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692"/>
      <c r="D190" s="544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692"/>
      <c r="D191" s="544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692"/>
      <c r="D192" s="544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692"/>
      <c r="D193" s="544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692"/>
      <c r="D194" s="544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692"/>
      <c r="D195" s="544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692"/>
      <c r="D196" s="544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692"/>
      <c r="D197" s="544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692"/>
      <c r="D198" s="544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692"/>
      <c r="D199" s="544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692"/>
      <c r="D200" s="544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692"/>
      <c r="D201" s="544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692"/>
      <c r="D202" s="544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692"/>
      <c r="D203" s="544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692"/>
      <c r="D204" s="544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692"/>
      <c r="D205" s="544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692"/>
      <c r="D206" s="544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692"/>
      <c r="D207" s="544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692"/>
      <c r="D208" s="544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692"/>
      <c r="D209" s="544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692"/>
      <c r="D210" s="544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692"/>
      <c r="D211" s="544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692"/>
      <c r="D212" s="544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692"/>
      <c r="D213" s="544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692"/>
      <c r="D214" s="544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692"/>
      <c r="D215" s="544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692"/>
      <c r="D216" s="544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692"/>
      <c r="D217" s="544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692"/>
      <c r="D218" s="544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692"/>
      <c r="D219" s="544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692"/>
      <c r="D220" s="544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692"/>
      <c r="D221" s="544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692"/>
      <c r="D222" s="544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692"/>
      <c r="D223" s="544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692"/>
      <c r="D224" s="544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692"/>
      <c r="D225" s="544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692"/>
      <c r="D226" s="544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692"/>
      <c r="D227" s="544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692"/>
      <c r="D228" s="544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692"/>
      <c r="D229" s="544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692"/>
      <c r="D230" s="544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692"/>
      <c r="D231" s="544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692"/>
      <c r="D232" s="544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692"/>
      <c r="D233" s="544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692"/>
      <c r="D234" s="544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692"/>
      <c r="D235" s="544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692"/>
      <c r="D236" s="544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692"/>
      <c r="D237" s="544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692"/>
      <c r="D238" s="544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692"/>
      <c r="D239" s="544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692"/>
      <c r="D240" s="544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692"/>
      <c r="D241" s="544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692"/>
      <c r="D242" s="544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692"/>
      <c r="D243" s="544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692"/>
      <c r="D244" s="544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692"/>
      <c r="D245" s="544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692"/>
      <c r="D246" s="544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692"/>
      <c r="D247" s="544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692"/>
      <c r="D248" s="544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692"/>
      <c r="D249" s="544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692"/>
      <c r="D250" s="544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692"/>
      <c r="D251" s="544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692"/>
      <c r="D252" s="544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692"/>
      <c r="D253" s="544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692"/>
      <c r="D254" s="544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B150" sqref="B15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2047</v>
      </c>
      <c r="D3" s="328"/>
      <c r="E3" s="763"/>
      <c r="F3" s="620">
        <v>1308.43</v>
      </c>
      <c r="G3" s="763">
        <v>946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2050</v>
      </c>
      <c r="D4" s="269"/>
      <c r="E4" s="757"/>
      <c r="F4" s="544">
        <v>78.48</v>
      </c>
      <c r="G4" s="75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2048</v>
      </c>
      <c r="D5" s="328"/>
      <c r="E5" s="763"/>
      <c r="F5" s="620">
        <v>79.790000000000006</v>
      </c>
      <c r="G5" s="763">
        <v>15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2052</v>
      </c>
      <c r="D6" s="269"/>
      <c r="E6" s="757"/>
      <c r="F6" s="544">
        <v>82.43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2046</v>
      </c>
      <c r="D7" s="269"/>
      <c r="E7" s="757"/>
      <c r="F7" s="544">
        <v>90.16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2051</v>
      </c>
      <c r="D8" s="269"/>
      <c r="E8" s="757"/>
      <c r="F8" s="544">
        <v>100.9</v>
      </c>
      <c r="G8" s="757">
        <v>31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2051</v>
      </c>
      <c r="D9" s="269"/>
      <c r="E9" s="757"/>
      <c r="F9" s="544">
        <v>102.22</v>
      </c>
      <c r="G9" s="1028">
        <v>32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2051</v>
      </c>
      <c r="D10" s="269"/>
      <c r="E10" s="757"/>
      <c r="F10" s="544">
        <v>62.86</v>
      </c>
      <c r="G10" s="757">
        <v>1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2046</v>
      </c>
      <c r="D11" s="269"/>
      <c r="E11" s="757"/>
      <c r="F11" s="544">
        <v>93.84</v>
      </c>
      <c r="G11" s="757">
        <v>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2055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2050</v>
      </c>
      <c r="D13" s="269"/>
      <c r="E13" s="757"/>
      <c r="F13" s="544">
        <v>65.27</v>
      </c>
      <c r="G13" s="757">
        <v>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2052</v>
      </c>
      <c r="D14" s="269"/>
      <c r="E14" s="757"/>
      <c r="F14" s="544">
        <v>71.86</v>
      </c>
      <c r="G14" s="757">
        <v>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2050</v>
      </c>
      <c r="D15" s="269"/>
      <c r="E15" s="757"/>
      <c r="F15" s="544">
        <v>115.58</v>
      </c>
      <c r="G15" s="757">
        <v>63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2057</v>
      </c>
      <c r="D16" s="269"/>
      <c r="E16" s="757"/>
      <c r="F16" s="544">
        <v>56.01</v>
      </c>
      <c r="G16" s="757">
        <v>21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2057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216.92</v>
      </c>
      <c r="E19" s="546">
        <f>1783+11</f>
        <v>1794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152.19</v>
      </c>
      <c r="E21" s="546">
        <v>1925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18.47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94.9</v>
      </c>
      <c r="E23" s="546">
        <v>1145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953.52</v>
      </c>
      <c r="E24" s="546">
        <f>10800+46</f>
        <v>10846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122.28</v>
      </c>
      <c r="E26" s="546">
        <v>1534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18.59</v>
      </c>
      <c r="E28" s="546">
        <v>138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300.70999999999998</v>
      </c>
      <c r="E29" s="546">
        <f>3334+13</f>
        <v>3347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679.48</v>
      </c>
      <c r="E30" s="546">
        <f>8920+29</f>
        <v>8949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18.84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611.12</v>
      </c>
      <c r="E33" s="546">
        <f>7326+27</f>
        <v>7353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26.94</v>
      </c>
      <c r="E35" s="546">
        <v>224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17.95</v>
      </c>
      <c r="E36" s="546">
        <v>124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5020.4399999999996</v>
      </c>
      <c r="E37" s="546">
        <f>81800+168</f>
        <v>81968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20.11</v>
      </c>
      <c r="E38" s="546">
        <v>130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68.739999999999995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18.84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1654.27</v>
      </c>
      <c r="E43" s="546">
        <f>19980+79</f>
        <v>20059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10.210000000000001</v>
      </c>
      <c r="E45" s="546">
        <v>22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113.71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108.71</v>
      </c>
      <c r="E48" s="546">
        <v>1357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323.19</v>
      </c>
      <c r="E49" s="546">
        <f>2907+17</f>
        <v>2924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8.3800000000000008</v>
      </c>
      <c r="E50" s="546">
        <v>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433.01</v>
      </c>
      <c r="E51" s="546">
        <f>5664+16</f>
        <v>5680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208.31</v>
      </c>
      <c r="E52" s="546">
        <v>2420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0.01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1310.81</v>
      </c>
      <c r="E54" s="546">
        <f>17700+61</f>
        <v>17761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43.6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1266.04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476.47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23.01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291.33999999999997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206.04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963.73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76.489999999999995</v>
      </c>
      <c r="E64" s="546">
        <v>192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470.89</v>
      </c>
      <c r="E65" s="546">
        <f>3888+18</f>
        <v>3906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346.7</v>
      </c>
      <c r="E66" s="546">
        <f>1120+22</f>
        <v>1142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263.42</v>
      </c>
      <c r="E67" s="546">
        <f>2244+13</f>
        <v>2257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502</v>
      </c>
      <c r="E69" s="757">
        <v>3704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153</v>
      </c>
      <c r="E70" s="757">
        <v>741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108</v>
      </c>
      <c r="E71" s="757">
        <v>384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90</v>
      </c>
      <c r="E72" s="757">
        <v>394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75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231</v>
      </c>
      <c r="E74" s="757">
        <v>1370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186</v>
      </c>
      <c r="E75" s="757">
        <v>1218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239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104</v>
      </c>
      <c r="E77" s="757">
        <v>347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107</v>
      </c>
      <c r="E79" s="757">
        <v>532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169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1997</v>
      </c>
      <c r="E81" s="757">
        <v>15000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106</v>
      </c>
      <c r="E82" s="757">
        <v>9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117</v>
      </c>
      <c r="E84" s="757">
        <v>596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422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340</v>
      </c>
      <c r="E86" s="757">
        <v>2040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2053</v>
      </c>
      <c r="D88" s="269">
        <v>277</v>
      </c>
      <c r="E88" s="757">
        <v>1230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153</v>
      </c>
      <c r="E90" s="757">
        <v>542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132</v>
      </c>
      <c r="E91" s="757">
        <v>733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251.12</v>
      </c>
      <c r="E92" s="757">
        <v>1533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2383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360</v>
      </c>
      <c r="E94" s="757">
        <v>2401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2056</v>
      </c>
      <c r="D96" s="269"/>
      <c r="E96" s="757"/>
      <c r="F96" s="544"/>
      <c r="G96" s="757"/>
      <c r="H96" s="269">
        <v>757.43</v>
      </c>
      <c r="I96" s="757">
        <v>1017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2053</v>
      </c>
      <c r="D97" s="269"/>
      <c r="E97" s="757"/>
      <c r="F97" s="544"/>
      <c r="G97" s="757"/>
      <c r="H97" s="269">
        <v>187.15</v>
      </c>
      <c r="I97" s="757">
        <v>261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2056</v>
      </c>
      <c r="D98" s="269"/>
      <c r="E98" s="757"/>
      <c r="F98" s="544"/>
      <c r="G98" s="757"/>
      <c r="H98" s="269">
        <v>39.299999999999997</v>
      </c>
      <c r="I98" s="757">
        <v>14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2056</v>
      </c>
      <c r="D99" s="269"/>
      <c r="E99" s="757"/>
      <c r="F99" s="544"/>
      <c r="G99" s="757"/>
      <c r="H99" s="269">
        <v>55.32</v>
      </c>
      <c r="I99" s="757">
        <v>50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2056</v>
      </c>
      <c r="D100" s="269"/>
      <c r="E100" s="757"/>
      <c r="F100" s="544"/>
      <c r="G100" s="757"/>
      <c r="H100" s="269">
        <v>64.400000000000006</v>
      </c>
      <c r="I100" s="757">
        <v>67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2056</v>
      </c>
      <c r="D101" s="269"/>
      <c r="E101" s="757"/>
      <c r="F101" s="544"/>
      <c r="G101" s="757"/>
      <c r="H101" s="269">
        <v>47.84</v>
      </c>
      <c r="I101" s="757">
        <v>36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2056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2056</v>
      </c>
      <c r="D103" s="269"/>
      <c r="E103" s="757"/>
      <c r="F103" s="544"/>
      <c r="G103" s="757"/>
      <c r="H103" s="269">
        <v>39.299999999999997</v>
      </c>
      <c r="I103" s="757">
        <v>1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2056</v>
      </c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2056</v>
      </c>
      <c r="D105" s="269"/>
      <c r="E105" s="757"/>
      <c r="F105" s="544"/>
      <c r="G105" s="757"/>
      <c r="H105" s="269">
        <v>39.299999999999997</v>
      </c>
      <c r="I105" s="757">
        <v>13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2056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2056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2056</v>
      </c>
      <c r="D108" s="269"/>
      <c r="E108" s="757"/>
      <c r="F108" s="544"/>
      <c r="G108" s="757"/>
      <c r="H108" s="269">
        <v>124.85</v>
      </c>
      <c r="I108" s="757">
        <v>166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2056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2056</v>
      </c>
      <c r="D110" s="269"/>
      <c r="E110" s="757"/>
      <c r="F110" s="544"/>
      <c r="G110" s="757"/>
      <c r="H110" s="269">
        <v>39.299999999999997</v>
      </c>
      <c r="I110" s="757">
        <v>9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2056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2056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2056</v>
      </c>
      <c r="D113" s="269"/>
      <c r="E113" s="757"/>
      <c r="F113" s="544"/>
      <c r="G113" s="757"/>
      <c r="H113" s="269">
        <v>39.299999999999997</v>
      </c>
      <c r="I113" s="757">
        <v>5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2056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2056</v>
      </c>
      <c r="D115" s="269"/>
      <c r="E115" s="757"/>
      <c r="F115" s="544"/>
      <c r="G115" s="757"/>
      <c r="H115" s="269">
        <v>224.62</v>
      </c>
      <c r="I115" s="757">
        <v>314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2056</v>
      </c>
      <c r="D116" s="269"/>
      <c r="E116" s="757"/>
      <c r="F116" s="544"/>
      <c r="G116" s="757"/>
      <c r="H116" s="269">
        <v>293.07</v>
      </c>
      <c r="I116" s="757">
        <v>410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2056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2056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2056</v>
      </c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2056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2056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2056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2056</v>
      </c>
      <c r="D123" s="269"/>
      <c r="E123" s="757"/>
      <c r="F123" s="544"/>
      <c r="G123" s="757"/>
      <c r="H123" s="269">
        <v>58.53</v>
      </c>
      <c r="I123" s="757">
        <v>23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2056</v>
      </c>
      <c r="D124" s="269"/>
      <c r="E124" s="757"/>
      <c r="F124" s="544"/>
      <c r="G124" s="757"/>
      <c r="H124" s="269">
        <v>54.25</v>
      </c>
      <c r="I124" s="757">
        <v>48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2056</v>
      </c>
      <c r="D125" s="269"/>
      <c r="E125" s="757"/>
      <c r="F125" s="544"/>
      <c r="G125" s="757"/>
      <c r="H125" s="269">
        <v>39.299999999999997</v>
      </c>
      <c r="I125" s="757">
        <v>20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2056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2045</v>
      </c>
      <c r="D127" s="269"/>
      <c r="E127" s="757"/>
      <c r="F127" s="544"/>
      <c r="G127" s="757"/>
      <c r="H127" s="269">
        <v>86.56</v>
      </c>
      <c r="I127" s="757">
        <v>107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2053</v>
      </c>
      <c r="D128" s="269"/>
      <c r="E128" s="757"/>
      <c r="F128" s="544"/>
      <c r="G128" s="757"/>
      <c r="H128" s="269">
        <v>146.91999999999999</v>
      </c>
      <c r="I128" s="757">
        <v>200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2045</v>
      </c>
      <c r="D129" s="269"/>
      <c r="E129" s="757"/>
      <c r="F129" s="544"/>
      <c r="G129" s="757"/>
      <c r="H129" s="269">
        <v>131.99</v>
      </c>
      <c r="I129" s="757">
        <v>177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2045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2045</v>
      </c>
      <c r="D131" s="269"/>
      <c r="E131" s="757"/>
      <c r="F131" s="544"/>
      <c r="G131" s="757"/>
      <c r="H131" s="269">
        <v>1953.12</v>
      </c>
      <c r="I131" s="757">
        <v>2580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2045</v>
      </c>
      <c r="D132" s="269"/>
      <c r="E132" s="757"/>
      <c r="F132" s="544"/>
      <c r="G132" s="757"/>
      <c r="H132" s="269">
        <v>88.51</v>
      </c>
      <c r="I132" s="757">
        <v>110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2045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2045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2045</v>
      </c>
      <c r="D135" s="269"/>
      <c r="E135" s="757"/>
      <c r="F135" s="544"/>
      <c r="G135" s="757"/>
      <c r="H135" s="269">
        <v>474.38</v>
      </c>
      <c r="I135" s="757">
        <v>647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2045</v>
      </c>
      <c r="D136" s="269"/>
      <c r="E136" s="757"/>
      <c r="F136" s="544"/>
      <c r="G136" s="757"/>
      <c r="H136" s="269">
        <v>353.51</v>
      </c>
      <c r="I136" s="757">
        <v>489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2045</v>
      </c>
      <c r="D137" s="269"/>
      <c r="E137" s="757"/>
      <c r="F137" s="544"/>
      <c r="G137" s="757"/>
      <c r="H137" s="269">
        <v>358.86</v>
      </c>
      <c r="I137" s="757">
        <v>496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2058</v>
      </c>
      <c r="D139" s="269"/>
      <c r="E139" s="757"/>
      <c r="F139" s="544"/>
      <c r="G139" s="757"/>
      <c r="H139" s="269">
        <v>86</v>
      </c>
      <c r="I139" s="757">
        <v>1300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2049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25"/>
      <c r="B4" s="1026"/>
      <c r="C4" s="1026"/>
      <c r="D4" s="1026"/>
      <c r="E4" s="1026"/>
      <c r="F4" s="1026"/>
      <c r="G4" s="102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304672</v>
      </c>
      <c r="D13" s="34"/>
      <c r="E13" s="35" t="s">
        <v>33</v>
      </c>
      <c r="F13" s="34"/>
      <c r="G13" s="42">
        <v>27201.06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1448</v>
      </c>
      <c r="D15" s="34"/>
      <c r="E15" s="35" t="s">
        <v>10</v>
      </c>
      <c r="F15" s="34"/>
      <c r="G15" s="42">
        <v>2275.3000000000002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15170</v>
      </c>
      <c r="D17" s="34"/>
      <c r="E17" s="35" t="s">
        <v>278</v>
      </c>
      <c r="F17" s="34"/>
      <c r="G17" s="42">
        <v>11316.44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K151" sqref="K15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2040</v>
      </c>
      <c r="D3" s="328"/>
      <c r="E3" s="763"/>
      <c r="F3" s="620">
        <v>1321.76</v>
      </c>
      <c r="G3" s="763">
        <v>1166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2038</v>
      </c>
      <c r="D4" s="269"/>
      <c r="E4" s="757"/>
      <c r="F4" s="544">
        <v>92.46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2035</v>
      </c>
      <c r="D5" s="328"/>
      <c r="E5" s="763"/>
      <c r="F5" s="620">
        <v>71.900000000000006</v>
      </c>
      <c r="G5" s="763">
        <v>11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2043</v>
      </c>
      <c r="D6" s="269"/>
      <c r="E6" s="757"/>
      <c r="F6" s="544">
        <v>78.38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2041</v>
      </c>
      <c r="D7" s="269"/>
      <c r="E7" s="757"/>
      <c r="F7" s="544">
        <v>87.04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2039</v>
      </c>
      <c r="D8" s="269"/>
      <c r="E8" s="757"/>
      <c r="F8" s="544">
        <v>81.64</v>
      </c>
      <c r="G8" s="757">
        <v>20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2039</v>
      </c>
      <c r="D9" s="269"/>
      <c r="E9" s="757"/>
      <c r="F9" s="544">
        <v>98.95</v>
      </c>
      <c r="G9" s="757">
        <v>36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2039</v>
      </c>
      <c r="D10" s="269"/>
      <c r="E10" s="757"/>
      <c r="F10" s="544">
        <v>68.459999999999994</v>
      </c>
      <c r="G10" s="757">
        <v>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2037</v>
      </c>
      <c r="D11" s="269"/>
      <c r="E11" s="757"/>
      <c r="F11" s="544">
        <v>89.05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2038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2038</v>
      </c>
      <c r="D13" s="269"/>
      <c r="E13" s="757"/>
      <c r="F13" s="544">
        <v>56.26</v>
      </c>
      <c r="G13" s="757">
        <v>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2043</v>
      </c>
      <c r="D14" s="269"/>
      <c r="E14" s="757"/>
      <c r="F14" s="544">
        <v>66.5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2038</v>
      </c>
      <c r="D15" s="269"/>
      <c r="E15" s="757"/>
      <c r="F15" s="544">
        <v>-27.56</v>
      </c>
      <c r="G15" s="757">
        <v>114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2044</v>
      </c>
      <c r="D16" s="269"/>
      <c r="E16" s="757"/>
      <c r="F16" s="544">
        <v>70.459999999999994</v>
      </c>
      <c r="G16" s="757">
        <v>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2044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228.94</v>
      </c>
      <c r="E19" s="546">
        <f>2320+11</f>
        <v>2331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306.64999999999998</v>
      </c>
      <c r="E21" s="546">
        <v>4179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18.34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74.94</v>
      </c>
      <c r="E23" s="546">
        <v>900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1167.58</v>
      </c>
      <c r="E24" s="546">
        <f>15880+52</f>
        <v>15932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112.45</v>
      </c>
      <c r="E26" s="546">
        <v>1410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21.85</v>
      </c>
      <c r="E28" s="546">
        <v>184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335.83</v>
      </c>
      <c r="E29" s="546">
        <f>4266+14</f>
        <v>4280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743.33</v>
      </c>
      <c r="E30" s="546">
        <f>10120+33</f>
        <v>10153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18.71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729.72</v>
      </c>
      <c r="E33" s="546">
        <f>10808+28</f>
        <v>10836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30.68</v>
      </c>
      <c r="E35" s="546">
        <v>313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16.649999999999999</v>
      </c>
      <c r="E36" s="546">
        <v>117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4842.82</v>
      </c>
      <c r="E37" s="546">
        <f>87300+180</f>
        <v>87480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17.52</v>
      </c>
      <c r="E38" s="546">
        <v>129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55.38</v>
      </c>
      <c r="E39" s="546">
        <v>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21.15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18.71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1759.47</v>
      </c>
      <c r="E43" s="546">
        <f>24720+77</f>
        <v>24797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9.93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112.54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107.47</v>
      </c>
      <c r="E48" s="546">
        <v>1365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339.82</v>
      </c>
      <c r="E49" s="546">
        <f>3416+18</f>
        <v>3434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8.6199999999999992</v>
      </c>
      <c r="E50" s="546">
        <v>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471.27</v>
      </c>
      <c r="E51" s="546">
        <f>6579+21</f>
        <v>6600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223.11</v>
      </c>
      <c r="E52" s="546">
        <v>2923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1455.43</v>
      </c>
      <c r="E54" s="546">
        <f>21300+67</f>
        <v>21367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103.43</v>
      </c>
      <c r="E56" s="546">
        <v>305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1256.28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473.89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22.93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290.10000000000002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205.44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958.7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79.84</v>
      </c>
      <c r="E64" s="546">
        <v>183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1115.7</v>
      </c>
      <c r="E65" s="546">
        <f>17796+43</f>
        <v>17839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374.33</v>
      </c>
      <c r="E66" s="546">
        <f>2240+22</f>
        <v>2262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268.86</v>
      </c>
      <c r="E67" s="546">
        <f>2629+13</f>
        <v>2642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548</v>
      </c>
      <c r="E69" s="757">
        <v>4242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149</v>
      </c>
      <c r="E70" s="757">
        <v>742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103</v>
      </c>
      <c r="E71" s="757">
        <v>353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84</v>
      </c>
      <c r="E72" s="757">
        <v>367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219</v>
      </c>
      <c r="E74" s="757">
        <v>1326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203</v>
      </c>
      <c r="E75" s="757">
        <v>1409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68</v>
      </c>
      <c r="E76" s="757">
        <v>229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81</v>
      </c>
      <c r="E77" s="757">
        <v>174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67</v>
      </c>
      <c r="E79" s="757">
        <v>220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158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2016</v>
      </c>
      <c r="E81" s="757">
        <v>17640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104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112</v>
      </c>
      <c r="E84" s="757">
        <v>578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588</v>
      </c>
      <c r="E85" s="757">
        <v>3600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387</v>
      </c>
      <c r="E86" s="757">
        <v>2520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324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2042</v>
      </c>
      <c r="D88" s="269">
        <v>242</v>
      </c>
      <c r="E88" s="757">
        <v>1089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156</v>
      </c>
      <c r="E90" s="757">
        <v>603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158</v>
      </c>
      <c r="E91" s="757">
        <v>980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156.57</v>
      </c>
      <c r="E92" s="757">
        <v>807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2272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370</v>
      </c>
      <c r="E94" s="757">
        <v>2590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2042</v>
      </c>
      <c r="D96" s="269"/>
      <c r="E96" s="757"/>
      <c r="F96" s="544"/>
      <c r="G96" s="757"/>
      <c r="H96" s="269">
        <v>582.24</v>
      </c>
      <c r="I96" s="757">
        <v>788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2042</v>
      </c>
      <c r="D97" s="269"/>
      <c r="E97" s="757"/>
      <c r="F97" s="544"/>
      <c r="G97" s="757"/>
      <c r="H97" s="269">
        <v>237.34</v>
      </c>
      <c r="I97" s="757">
        <v>332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2042</v>
      </c>
      <c r="D98" s="269"/>
      <c r="E98" s="757"/>
      <c r="F98" s="544"/>
      <c r="G98" s="757"/>
      <c r="H98" s="269">
        <v>40.9</v>
      </c>
      <c r="I98" s="757">
        <v>23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2042</v>
      </c>
      <c r="D99" s="269"/>
      <c r="E99" s="757"/>
      <c r="F99" s="544"/>
      <c r="G99" s="757"/>
      <c r="H99" s="269">
        <v>60.66</v>
      </c>
      <c r="I99" s="757">
        <v>60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2042</v>
      </c>
      <c r="D100" s="269"/>
      <c r="E100" s="757"/>
      <c r="F100" s="544"/>
      <c r="G100" s="757"/>
      <c r="H100" s="269">
        <v>79.349999999999994</v>
      </c>
      <c r="I100" s="757">
        <v>95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2042</v>
      </c>
      <c r="D101" s="269"/>
      <c r="E101" s="757"/>
      <c r="F101" s="544"/>
      <c r="G101" s="757"/>
      <c r="H101" s="269">
        <v>42.5</v>
      </c>
      <c r="I101" s="757">
        <v>26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2042</v>
      </c>
      <c r="D102" s="269"/>
      <c r="E102" s="757"/>
      <c r="F102" s="544"/>
      <c r="G102" s="757"/>
      <c r="H102" s="269">
        <v>52.12</v>
      </c>
      <c r="I102" s="757">
        <v>44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2042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2042</v>
      </c>
      <c r="D104" s="269"/>
      <c r="E104" s="757"/>
      <c r="F104" s="544"/>
      <c r="G104" s="757"/>
      <c r="H104" s="269">
        <v>49.98</v>
      </c>
      <c r="I104" s="757">
        <v>40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2042</v>
      </c>
      <c r="D105" s="269"/>
      <c r="E105" s="757"/>
      <c r="F105" s="544"/>
      <c r="G105" s="757"/>
      <c r="H105" s="269">
        <v>98.89</v>
      </c>
      <c r="I105" s="757">
        <v>126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2042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2042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2042</v>
      </c>
      <c r="D108" s="269"/>
      <c r="E108" s="757"/>
      <c r="F108" s="544"/>
      <c r="G108" s="757"/>
      <c r="H108" s="269">
        <v>126.8</v>
      </c>
      <c r="I108" s="757">
        <v>169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2042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2042</v>
      </c>
      <c r="D110" s="269"/>
      <c r="E110" s="757"/>
      <c r="F110" s="544"/>
      <c r="G110" s="757"/>
      <c r="H110" s="269">
        <v>46.24</v>
      </c>
      <c r="I110" s="757">
        <v>33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2042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2042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2042</v>
      </c>
      <c r="D113" s="269"/>
      <c r="E113" s="757"/>
      <c r="F113" s="544"/>
      <c r="G113" s="757"/>
      <c r="H113" s="269">
        <v>69.739999999999995</v>
      </c>
      <c r="I113" s="757">
        <v>77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2042</v>
      </c>
      <c r="D114" s="269"/>
      <c r="E114" s="757"/>
      <c r="F114" s="544"/>
      <c r="G114" s="757"/>
      <c r="H114" s="269">
        <v>39.299999999999997</v>
      </c>
      <c r="I114" s="757">
        <v>12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2042</v>
      </c>
      <c r="D115" s="269"/>
      <c r="E115" s="757"/>
      <c r="F115" s="544"/>
      <c r="G115" s="757"/>
      <c r="H115" s="269">
        <v>4115.01</v>
      </c>
      <c r="I115" s="757">
        <v>5406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2042</v>
      </c>
      <c r="D116" s="269"/>
      <c r="E116" s="757"/>
      <c r="F116" s="544"/>
      <c r="G116" s="757"/>
      <c r="H116" s="269">
        <v>728.36</v>
      </c>
      <c r="I116" s="757">
        <v>979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2042</v>
      </c>
      <c r="D117" s="269"/>
      <c r="E117" s="757"/>
      <c r="F117" s="544"/>
      <c r="G117" s="757"/>
      <c r="H117" s="269">
        <v>46.78</v>
      </c>
      <c r="I117" s="757">
        <v>34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2042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2042</v>
      </c>
      <c r="D119" s="269"/>
      <c r="E119" s="757"/>
      <c r="F119" s="544"/>
      <c r="G119" s="757"/>
      <c r="H119" s="269">
        <v>39.299999999999997</v>
      </c>
      <c r="I119" s="757">
        <v>17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2042</v>
      </c>
      <c r="D120" s="269"/>
      <c r="E120" s="757"/>
      <c r="F120" s="544"/>
      <c r="G120" s="757"/>
      <c r="H120" s="269">
        <v>52.65</v>
      </c>
      <c r="I120" s="757">
        <v>45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2042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2042</v>
      </c>
      <c r="D122" s="269"/>
      <c r="E122" s="757"/>
      <c r="F122" s="544"/>
      <c r="G122" s="757"/>
      <c r="H122" s="269">
        <v>387.17</v>
      </c>
      <c r="I122" s="757">
        <v>533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2042</v>
      </c>
      <c r="D123" s="269"/>
      <c r="E123" s="757"/>
      <c r="F123" s="544"/>
      <c r="G123" s="757"/>
      <c r="H123" s="269">
        <v>56.13</v>
      </c>
      <c r="I123" s="757">
        <v>9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2042</v>
      </c>
      <c r="D124" s="269"/>
      <c r="E124" s="757"/>
      <c r="F124" s="544"/>
      <c r="G124" s="757"/>
      <c r="H124" s="269">
        <v>46.78</v>
      </c>
      <c r="I124" s="757">
        <v>34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2042</v>
      </c>
      <c r="D125" s="269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2042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2033</v>
      </c>
      <c r="D127" s="269"/>
      <c r="E127" s="757"/>
      <c r="F127" s="544"/>
      <c r="G127" s="757"/>
      <c r="H127" s="269">
        <v>79.349999999999994</v>
      </c>
      <c r="I127" s="757">
        <v>95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2042</v>
      </c>
      <c r="D128" s="269"/>
      <c r="E128" s="757"/>
      <c r="F128" s="544"/>
      <c r="G128" s="757"/>
      <c r="H128" s="269">
        <v>206.24</v>
      </c>
      <c r="I128" s="757">
        <v>288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2033</v>
      </c>
      <c r="D129" s="269"/>
      <c r="E129" s="757"/>
      <c r="F129" s="544"/>
      <c r="G129" s="757"/>
      <c r="H129" s="269">
        <v>148.87</v>
      </c>
      <c r="I129" s="757">
        <v>203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2033</v>
      </c>
      <c r="D130" s="269"/>
      <c r="E130" s="757"/>
      <c r="F130" s="544"/>
      <c r="G130" s="757"/>
      <c r="H130" s="269">
        <v>39.299999999999997</v>
      </c>
      <c r="I130" s="757">
        <v>19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2033</v>
      </c>
      <c r="D131" s="269"/>
      <c r="E131" s="757"/>
      <c r="F131" s="544"/>
      <c r="G131" s="757"/>
      <c r="H131" s="269">
        <v>2318.79</v>
      </c>
      <c r="I131" s="757">
        <v>3058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2033</v>
      </c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2033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2033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2033</v>
      </c>
      <c r="D135" s="269"/>
      <c r="E135" s="757"/>
      <c r="F135" s="544"/>
      <c r="G135" s="757"/>
      <c r="H135" s="269">
        <v>342.8</v>
      </c>
      <c r="I135" s="757">
        <v>475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2033</v>
      </c>
      <c r="D136" s="269"/>
      <c r="E136" s="757"/>
      <c r="F136" s="544"/>
      <c r="G136" s="757"/>
      <c r="H136" s="269">
        <v>269.16000000000003</v>
      </c>
      <c r="I136" s="757">
        <v>377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2033</v>
      </c>
      <c r="D137" s="269"/>
      <c r="E137" s="757"/>
      <c r="F137" s="544"/>
      <c r="G137" s="757"/>
      <c r="H137" s="269">
        <v>316.79000000000002</v>
      </c>
      <c r="I137" s="757">
        <v>441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2042</v>
      </c>
      <c r="D139" s="269"/>
      <c r="E139" s="757"/>
      <c r="F139" s="544"/>
      <c r="G139" s="757"/>
      <c r="H139" s="269">
        <v>86</v>
      </c>
      <c r="I139" s="757">
        <v>1300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2" sqref="G1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2036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22"/>
      <c r="B4" s="1023"/>
      <c r="C4" s="1023"/>
      <c r="D4" s="1023"/>
      <c r="E4" s="1023"/>
      <c r="F4" s="1023"/>
      <c r="G4" s="102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312443</v>
      </c>
      <c r="D13" s="34"/>
      <c r="E13" s="35" t="s">
        <v>33</v>
      </c>
      <c r="F13" s="34"/>
      <c r="G13" s="42">
        <v>28092.41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1133</v>
      </c>
      <c r="D15" s="34"/>
      <c r="E15" s="35" t="s">
        <v>10</v>
      </c>
      <c r="F15" s="34"/>
      <c r="G15" s="42">
        <v>2438.83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323618</v>
      </c>
      <c r="D17" s="34"/>
      <c r="E17" s="35" t="s">
        <v>278</v>
      </c>
      <c r="F17" s="34"/>
      <c r="G17" s="42">
        <v>10361.959999999999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7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2024</v>
      </c>
      <c r="D3" s="328"/>
      <c r="E3" s="763"/>
      <c r="F3" s="620">
        <v>1166.6600000000001</v>
      </c>
      <c r="G3" s="763">
        <v>823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2028</v>
      </c>
      <c r="D4" s="269"/>
      <c r="E4" s="757"/>
      <c r="F4" s="544">
        <v>80.180000000000007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2025</v>
      </c>
      <c r="D5" s="328"/>
      <c r="E5" s="763"/>
      <c r="F5" s="620">
        <v>81.52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2029</v>
      </c>
      <c r="D6" s="269"/>
      <c r="E6" s="757"/>
      <c r="F6" s="544">
        <v>89.59</v>
      </c>
      <c r="G6" s="757">
        <v>22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2026</v>
      </c>
      <c r="D7" s="269"/>
      <c r="E7" s="757"/>
      <c r="F7" s="544">
        <v>84.06</v>
      </c>
      <c r="G7" s="757">
        <v>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2027</v>
      </c>
      <c r="D8" s="269"/>
      <c r="E8" s="757"/>
      <c r="F8" s="544">
        <v>84.23</v>
      </c>
      <c r="G8" s="757">
        <v>18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2027</v>
      </c>
      <c r="D9" s="269"/>
      <c r="E9" s="757"/>
      <c r="F9" s="544">
        <v>119.19</v>
      </c>
      <c r="G9" s="757">
        <v>44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2027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2026</v>
      </c>
      <c r="D11" s="269"/>
      <c r="E11" s="757"/>
      <c r="F11" s="544">
        <v>89.06</v>
      </c>
      <c r="G11" s="757">
        <v>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2028</v>
      </c>
      <c r="D12" s="269"/>
      <c r="E12" s="757"/>
      <c r="F12" s="544">
        <v>60.02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2028</v>
      </c>
      <c r="D13" s="269"/>
      <c r="E13" s="757"/>
      <c r="F13" s="544">
        <v>72.11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2029</v>
      </c>
      <c r="D14" s="269"/>
      <c r="E14" s="757"/>
      <c r="F14" s="544">
        <v>64.05</v>
      </c>
      <c r="G14" s="757">
        <v>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2028</v>
      </c>
      <c r="D15" s="269"/>
      <c r="E15" s="757"/>
      <c r="F15" s="544">
        <v>284.57</v>
      </c>
      <c r="G15" s="757">
        <v>167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2032</v>
      </c>
      <c r="D16" s="269"/>
      <c r="E16" s="757"/>
      <c r="F16" s="544">
        <v>38.619999999999997</v>
      </c>
      <c r="G16" s="757">
        <v>12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2032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230.59</v>
      </c>
      <c r="E19" s="546">
        <f>2583+11</f>
        <v>2594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234.68</v>
      </c>
      <c r="E21" s="546">
        <v>3233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75.790000000000006</v>
      </c>
      <c r="E23" s="546">
        <v>944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1021.27</v>
      </c>
      <c r="E24" s="546">
        <v>13450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79.400000000000006</v>
      </c>
      <c r="E26" s="546">
        <v>978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20.8</v>
      </c>
      <c r="E28" s="546">
        <v>174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319.68</v>
      </c>
      <c r="E29" s="546">
        <f>4160+14</f>
        <v>4174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723.71</v>
      </c>
      <c r="E30" s="546">
        <f>10520+33</f>
        <v>10553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714.7</v>
      </c>
      <c r="E33" s="546">
        <f>10563+30</f>
        <v>10593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35.65</v>
      </c>
      <c r="E35" s="546">
        <v>375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16.989999999999998</v>
      </c>
      <c r="E36" s="546">
        <v>120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5010.62</v>
      </c>
      <c r="E37" s="546">
        <f>92000+175</f>
        <v>92175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19.239999999999998</v>
      </c>
      <c r="E38" s="546">
        <v>133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66.42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1692.86</v>
      </c>
      <c r="E43" s="546">
        <f>24420+79</f>
        <v>24499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9.93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43.26</v>
      </c>
      <c r="E48" s="546">
        <v>486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319.36</v>
      </c>
      <c r="E49" s="546">
        <f>3129+18</f>
        <v>3147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9.01</v>
      </c>
      <c r="E50" s="546">
        <v>10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455.27</v>
      </c>
      <c r="E51" s="546">
        <f>6821+18</f>
        <v>6839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222.28</v>
      </c>
      <c r="E52" s="546">
        <v>2895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1338.42</v>
      </c>
      <c r="E54" s="546">
        <f>20160+65</f>
        <v>20225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237.38</v>
      </c>
      <c r="E56" s="546">
        <f>1875+14</f>
        <v>1889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1251.02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289.43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217.16</v>
      </c>
      <c r="E61" s="546">
        <v>720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955.96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811.33</v>
      </c>
      <c r="E64" s="546">
        <f>6697+48</f>
        <v>6745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1010.18</v>
      </c>
      <c r="E65" s="546">
        <f>16172+42</f>
        <v>16214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369.93</v>
      </c>
      <c r="E66" s="546">
        <v>2422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316.83</v>
      </c>
      <c r="E67" s="546">
        <f>2864+18</f>
        <v>2882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444</v>
      </c>
      <c r="E69" s="757">
        <v>3517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150</v>
      </c>
      <c r="E70" s="757">
        <v>779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98</v>
      </c>
      <c r="E71" s="757">
        <v>331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84</v>
      </c>
      <c r="E72" s="757">
        <v>377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234</v>
      </c>
      <c r="E74" s="757">
        <v>1511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166</v>
      </c>
      <c r="E75" s="757">
        <v>1149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66</v>
      </c>
      <c r="E76" s="757">
        <v>226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75</v>
      </c>
      <c r="E77" s="757">
        <v>129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49</v>
      </c>
      <c r="E79" s="757">
        <v>76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186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2426</v>
      </c>
      <c r="E81" s="757">
        <v>17400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104</v>
      </c>
      <c r="E82" s="757">
        <v>5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134</v>
      </c>
      <c r="E84" s="757">
        <v>794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1014</v>
      </c>
      <c r="E85" s="757">
        <v>7500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374</v>
      </c>
      <c r="E86" s="757">
        <v>2520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315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218</v>
      </c>
      <c r="E88" s="757">
        <v>945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71</v>
      </c>
      <c r="E89" s="757">
        <v>93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137</v>
      </c>
      <c r="E90" s="757">
        <v>466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261</v>
      </c>
      <c r="E91" s="757">
        <v>1944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120.89</v>
      </c>
      <c r="E92" s="757">
        <v>531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2065</v>
      </c>
      <c r="E93" s="757">
        <v>19200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345</v>
      </c>
      <c r="E94" s="757">
        <v>2478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2031</v>
      </c>
      <c r="D96" s="269"/>
      <c r="E96" s="757"/>
      <c r="F96" s="544"/>
      <c r="G96" s="757"/>
      <c r="H96" s="269">
        <v>643.44000000000005</v>
      </c>
      <c r="I96" s="757">
        <v>868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2031</v>
      </c>
      <c r="D97" s="269"/>
      <c r="E97" s="757"/>
      <c r="F97" s="544"/>
      <c r="G97" s="757"/>
      <c r="H97" s="269">
        <v>243</v>
      </c>
      <c r="I97" s="757">
        <v>340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2031</v>
      </c>
      <c r="D98" s="269"/>
      <c r="E98" s="757"/>
      <c r="F98" s="544"/>
      <c r="G98" s="757"/>
      <c r="H98" s="269">
        <v>39.299999999999997</v>
      </c>
      <c r="I98" s="757">
        <v>19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2031</v>
      </c>
      <c r="D99" s="269"/>
      <c r="E99" s="757"/>
      <c r="F99" s="544"/>
      <c r="G99" s="757"/>
      <c r="H99" s="269">
        <v>56.39</v>
      </c>
      <c r="I99" s="757">
        <v>52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2031</v>
      </c>
      <c r="D100" s="269"/>
      <c r="E100" s="757"/>
      <c r="F100" s="544"/>
      <c r="G100" s="757"/>
      <c r="H100" s="269">
        <v>75.08</v>
      </c>
      <c r="I100" s="757">
        <v>87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2031</v>
      </c>
      <c r="D101" s="269"/>
      <c r="E101" s="757"/>
      <c r="F101" s="544"/>
      <c r="G101" s="757"/>
      <c r="H101" s="269">
        <v>39.83</v>
      </c>
      <c r="I101" s="757">
        <v>21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2031</v>
      </c>
      <c r="D102" s="269"/>
      <c r="E102" s="757"/>
      <c r="F102" s="544"/>
      <c r="G102" s="757"/>
      <c r="H102" s="269">
        <v>49.98</v>
      </c>
      <c r="I102" s="757">
        <v>40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2031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2031</v>
      </c>
      <c r="D104" s="269"/>
      <c r="E104" s="757"/>
      <c r="F104" s="544"/>
      <c r="G104" s="757"/>
      <c r="H104" s="269">
        <v>85.91</v>
      </c>
      <c r="I104" s="757">
        <v>106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2031</v>
      </c>
      <c r="D105" s="269"/>
      <c r="E105" s="757"/>
      <c r="F105" s="544"/>
      <c r="G105" s="757"/>
      <c r="H105" s="269">
        <v>85.91</v>
      </c>
      <c r="I105" s="757">
        <v>106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2031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2031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2031</v>
      </c>
      <c r="D108" s="269"/>
      <c r="E108" s="757"/>
      <c r="F108" s="544"/>
      <c r="G108" s="757"/>
      <c r="H108" s="269">
        <v>122.26</v>
      </c>
      <c r="I108" s="757">
        <v>162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2031</v>
      </c>
      <c r="D109" s="269"/>
      <c r="E109" s="757"/>
      <c r="F109" s="544"/>
      <c r="G109" s="757"/>
      <c r="H109" s="269">
        <v>39.299999999999997</v>
      </c>
      <c r="I109" s="757">
        <v>13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2031</v>
      </c>
      <c r="D110" s="269"/>
      <c r="E110" s="757"/>
      <c r="F110" s="544"/>
      <c r="G110" s="757"/>
      <c r="H110" s="269">
        <v>39.299999999999997</v>
      </c>
      <c r="I110" s="757">
        <v>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2031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2031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2031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2031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2031</v>
      </c>
      <c r="D115" s="269"/>
      <c r="E115" s="757"/>
      <c r="F115" s="544"/>
      <c r="G115" s="757"/>
      <c r="H115" s="269">
        <v>934.91</v>
      </c>
      <c r="I115" s="757">
        <v>1249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2031</v>
      </c>
      <c r="D116" s="269"/>
      <c r="E116" s="757"/>
      <c r="F116" s="544"/>
      <c r="G116" s="757"/>
      <c r="H116" s="269">
        <v>624.32000000000005</v>
      </c>
      <c r="I116" s="757">
        <v>843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2031</v>
      </c>
      <c r="D117" s="269"/>
      <c r="E117" s="757"/>
      <c r="F117" s="544"/>
      <c r="G117" s="757"/>
      <c r="H117" s="269">
        <v>71.34</v>
      </c>
      <c r="I117" s="757">
        <v>80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2031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2031</v>
      </c>
      <c r="D119" s="269"/>
      <c r="E119" s="757"/>
      <c r="F119" s="544"/>
      <c r="G119" s="757"/>
      <c r="H119" s="269">
        <v>407.06</v>
      </c>
      <c r="I119" s="757">
        <v>559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2031</v>
      </c>
      <c r="D120" s="269"/>
      <c r="E120" s="757"/>
      <c r="F120" s="544"/>
      <c r="G120" s="757"/>
      <c r="H120" s="269">
        <v>39.299999999999997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2031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2031</v>
      </c>
      <c r="D122" s="269"/>
      <c r="E122" s="757"/>
      <c r="F122" s="544"/>
      <c r="G122" s="757"/>
      <c r="H122" s="269">
        <v>1322</v>
      </c>
      <c r="I122" s="757">
        <v>1755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2031</v>
      </c>
      <c r="D123" s="269"/>
      <c r="E123" s="757"/>
      <c r="F123" s="544"/>
      <c r="G123" s="757"/>
      <c r="H123" s="269">
        <v>56.13</v>
      </c>
      <c r="I123" s="757">
        <v>4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2031</v>
      </c>
      <c r="D124" s="269"/>
      <c r="E124" s="757"/>
      <c r="F124" s="544"/>
      <c r="G124" s="757"/>
      <c r="H124" s="269">
        <v>51.05</v>
      </c>
      <c r="I124" s="757">
        <v>42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2031</v>
      </c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2031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2023</v>
      </c>
      <c r="D127" s="269"/>
      <c r="E127" s="757"/>
      <c r="F127" s="544"/>
      <c r="G127" s="757"/>
      <c r="H127" s="269">
        <v>56.39</v>
      </c>
      <c r="I127" s="757">
        <v>52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2031</v>
      </c>
      <c r="D128" s="269"/>
      <c r="E128" s="757"/>
      <c r="F128" s="544"/>
      <c r="G128" s="757"/>
      <c r="H128" s="269">
        <v>228.86</v>
      </c>
      <c r="I128" s="757">
        <v>320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2023</v>
      </c>
      <c r="D129" s="269"/>
      <c r="E129" s="757"/>
      <c r="F129" s="544"/>
      <c r="G129" s="757"/>
      <c r="H129" s="269">
        <v>193.51</v>
      </c>
      <c r="I129" s="757">
        <v>270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2023</v>
      </c>
      <c r="D130" s="269"/>
      <c r="E130" s="757"/>
      <c r="F130" s="544"/>
      <c r="G130" s="757"/>
      <c r="H130" s="269">
        <v>39.299999999999997</v>
      </c>
      <c r="I130" s="757">
        <v>6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2023</v>
      </c>
      <c r="D131" s="269"/>
      <c r="E131" s="757"/>
      <c r="F131" s="544"/>
      <c r="G131" s="757"/>
      <c r="H131" s="269">
        <v>2774.73</v>
      </c>
      <c r="I131" s="757">
        <v>3654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2023</v>
      </c>
      <c r="D132" s="269"/>
      <c r="E132" s="757"/>
      <c r="F132" s="544"/>
      <c r="G132" s="757"/>
      <c r="H132" s="269">
        <v>39.299999999999997</v>
      </c>
      <c r="I132" s="757">
        <v>9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2023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2023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2023</v>
      </c>
      <c r="D135" s="269"/>
      <c r="E135" s="757"/>
      <c r="F135" s="544"/>
      <c r="G135" s="757"/>
      <c r="H135" s="269">
        <v>469.79</v>
      </c>
      <c r="I135" s="757">
        <v>641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2023</v>
      </c>
      <c r="D136" s="269"/>
      <c r="E136" s="757"/>
      <c r="F136" s="544"/>
      <c r="G136" s="757"/>
      <c r="H136" s="269">
        <v>397.11</v>
      </c>
      <c r="I136" s="757">
        <v>546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2023</v>
      </c>
      <c r="D137" s="269"/>
      <c r="E137" s="757"/>
      <c r="F137" s="544"/>
      <c r="G137" s="757"/>
      <c r="H137" s="269">
        <v>361.16</v>
      </c>
      <c r="I137" s="757">
        <v>499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2031</v>
      </c>
      <c r="D139" s="269"/>
      <c r="E139" s="757"/>
      <c r="F139" s="544"/>
      <c r="G139" s="757"/>
      <c r="H139" s="269">
        <v>88</v>
      </c>
      <c r="I139" s="757">
        <v>1400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2034</v>
      </c>
      <c r="D145" s="269"/>
      <c r="E145" s="757"/>
      <c r="F145" s="544"/>
      <c r="G145" s="757"/>
      <c r="H145" s="269">
        <v>177.1</v>
      </c>
      <c r="I145" s="757">
        <v>309810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4" sqref="D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2030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9"/>
      <c r="B4" s="1020"/>
      <c r="C4" s="1020"/>
      <c r="D4" s="1020"/>
      <c r="E4" s="1020"/>
      <c r="F4" s="1020"/>
      <c r="G4" s="102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264928</v>
      </c>
      <c r="D13" s="34"/>
      <c r="E13" s="35" t="s">
        <v>33</v>
      </c>
      <c r="F13" s="34"/>
      <c r="G13" s="42">
        <v>25088.73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1930</v>
      </c>
      <c r="D15" s="34"/>
      <c r="E15" s="35" t="s">
        <v>10</v>
      </c>
      <c r="F15" s="34"/>
      <c r="G15" s="42">
        <v>3035.45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9075</v>
      </c>
      <c r="D17" s="34"/>
      <c r="E17" s="35" t="s">
        <v>278</v>
      </c>
      <c r="F17" s="34"/>
      <c r="G17" s="42">
        <v>7093.74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D122" sqref="D1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2014</v>
      </c>
      <c r="D3" s="328"/>
      <c r="E3" s="763"/>
      <c r="F3" s="620">
        <v>1586.79</v>
      </c>
      <c r="G3" s="763">
        <v>1375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2018</v>
      </c>
      <c r="D4" s="269"/>
      <c r="E4" s="757"/>
      <c r="F4" s="544">
        <v>112.2</v>
      </c>
      <c r="G4" s="757">
        <v>47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2014</v>
      </c>
      <c r="D5" s="328"/>
      <c r="E5" s="763"/>
      <c r="F5" s="620">
        <v>80.02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2020</v>
      </c>
      <c r="D6" s="269"/>
      <c r="E6" s="757"/>
      <c r="F6" s="544">
        <v>82.22</v>
      </c>
      <c r="G6" s="757">
        <v>20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2019</v>
      </c>
      <c r="D7" s="269"/>
      <c r="E7" s="757"/>
      <c r="F7" s="544">
        <v>73.760000000000005</v>
      </c>
      <c r="G7" s="757">
        <v>6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2017</v>
      </c>
      <c r="D8" s="269"/>
      <c r="E8" s="757"/>
      <c r="F8" s="544">
        <v>83.33</v>
      </c>
      <c r="G8" s="757">
        <v>21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2017</v>
      </c>
      <c r="D9" s="269"/>
      <c r="E9" s="757"/>
      <c r="F9" s="544">
        <v>99.98</v>
      </c>
      <c r="G9" s="757">
        <v>36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2017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2016</v>
      </c>
      <c r="D11" s="269"/>
      <c r="E11" s="757"/>
      <c r="F11" s="544">
        <v>76.83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2018</v>
      </c>
      <c r="D12" s="269"/>
      <c r="E12" s="757"/>
      <c r="F12" s="544">
        <v>60.02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2018</v>
      </c>
      <c r="D13" s="269"/>
      <c r="E13" s="757"/>
      <c r="F13" s="544">
        <v>68.900000000000006</v>
      </c>
      <c r="G13" s="757">
        <v>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2020</v>
      </c>
      <c r="D14" s="269"/>
      <c r="E14" s="757"/>
      <c r="F14" s="544">
        <v>72.239999999999995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2018</v>
      </c>
      <c r="D15" s="269"/>
      <c r="E15" s="757"/>
      <c r="F15" s="544">
        <v>447.53</v>
      </c>
      <c r="G15" s="757">
        <v>349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2021</v>
      </c>
      <c r="D16" s="269"/>
      <c r="E16" s="757"/>
      <c r="F16" s="544">
        <v>71.09</v>
      </c>
      <c r="G16" s="757">
        <v>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2021</v>
      </c>
      <c r="D17" s="269"/>
      <c r="E17" s="757"/>
      <c r="F17" s="544">
        <v>55.57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211.09</v>
      </c>
      <c r="E19" s="546">
        <f>1999+11</f>
        <v>2010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152.65</v>
      </c>
      <c r="E21" s="546">
        <v>2063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18.309999999999999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62.96</v>
      </c>
      <c r="E23" s="546">
        <v>761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939.41</v>
      </c>
      <c r="E24" s="546">
        <f>11320+49</f>
        <v>11369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14.21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85.71</v>
      </c>
      <c r="E26" s="546">
        <v>1061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17.579999999999998</v>
      </c>
      <c r="E28" s="546">
        <v>129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275.72000000000003</v>
      </c>
      <c r="E29" s="546">
        <f>3411+12</f>
        <v>3423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672.64</v>
      </c>
      <c r="E30" s="546">
        <v>9232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23.35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616.92999999999995</v>
      </c>
      <c r="E33" s="546">
        <f>8335+28</f>
        <v>8363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11.42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36.18</v>
      </c>
      <c r="E35" s="546">
        <v>387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16.829999999999998</v>
      </c>
      <c r="E36" s="546">
        <v>118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4421.6499999999996</v>
      </c>
      <c r="E37" s="546">
        <f>77900+167</f>
        <v>78067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19.079999999999998</v>
      </c>
      <c r="E38" s="546">
        <v>130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392.94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21.12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14.21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1576.39</v>
      </c>
      <c r="E43" s="546">
        <f>21780+76</f>
        <v>21856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11.42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10.76</v>
      </c>
      <c r="E45" s="546">
        <v>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112.83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44.88</v>
      </c>
      <c r="E48" s="546">
        <v>504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305.77</v>
      </c>
      <c r="E49" s="546">
        <f>2979+17</f>
        <v>2996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9.3000000000000007</v>
      </c>
      <c r="E50" s="546">
        <v>14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389.11</v>
      </c>
      <c r="E51" s="546">
        <f>5228+17</f>
        <v>5245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169.28</v>
      </c>
      <c r="E52" s="546">
        <v>2197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0.05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1194.1199999999999</v>
      </c>
      <c r="E54" s="546">
        <f>17640+58</f>
        <v>17698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8.1999999999999993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250.75</v>
      </c>
      <c r="E56" s="546">
        <f>1998+15</f>
        <v>2013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1254.53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473.44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22.92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289.95999999999998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217.35</v>
      </c>
      <c r="E61" s="546">
        <v>720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957.72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60.11</v>
      </c>
      <c r="E64" s="546">
        <v>198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880.25</v>
      </c>
      <c r="E65" s="546">
        <f>12402+42</f>
        <v>12444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381.7</v>
      </c>
      <c r="E66" s="546">
        <f>2720+22</f>
        <v>2742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252.56</v>
      </c>
      <c r="E67" s="546">
        <f>2380+13</f>
        <v>2393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394</v>
      </c>
      <c r="E69" s="757">
        <v>3221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146</v>
      </c>
      <c r="E70" s="757">
        <v>778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110</v>
      </c>
      <c r="E71" s="757">
        <v>452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218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253</v>
      </c>
      <c r="E74" s="757">
        <v>1759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131</v>
      </c>
      <c r="E75" s="757">
        <v>880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65</v>
      </c>
      <c r="E76" s="757">
        <v>224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77</v>
      </c>
      <c r="E77" s="757">
        <v>150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97</v>
      </c>
      <c r="E79" s="757">
        <v>517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85</v>
      </c>
      <c r="E80" s="757">
        <v>219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2112</v>
      </c>
      <c r="E81" s="757">
        <v>14400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103</v>
      </c>
      <c r="E82" s="757">
        <v>9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776</v>
      </c>
      <c r="E85" s="757">
        <v>5700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467</v>
      </c>
      <c r="E86" s="757">
        <v>3480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192</v>
      </c>
      <c r="E88" s="757">
        <v>765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73</v>
      </c>
      <c r="E89" s="757">
        <v>110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122</v>
      </c>
      <c r="E90" s="757">
        <v>357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144</v>
      </c>
      <c r="E91" s="757">
        <v>944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115.71</v>
      </c>
      <c r="E92" s="757">
        <v>508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1937</v>
      </c>
      <c r="E93" s="757">
        <v>18960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168</v>
      </c>
      <c r="E94" s="757">
        <v>977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426.18</v>
      </c>
      <c r="I96" s="757">
        <v>584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245.12</v>
      </c>
      <c r="I97" s="757">
        <v>343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56.39</v>
      </c>
      <c r="I98" s="757">
        <v>52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64.400000000000006</v>
      </c>
      <c r="I99" s="757">
        <v>67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59.06</v>
      </c>
      <c r="I100" s="757">
        <v>57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41.44</v>
      </c>
      <c r="I101" s="757">
        <v>24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46.24</v>
      </c>
      <c r="I102" s="757">
        <v>33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81.489999999999995</v>
      </c>
      <c r="I104" s="757">
        <v>99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42.5</v>
      </c>
      <c r="I105" s="757">
        <v>26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49.98</v>
      </c>
      <c r="I108" s="757">
        <v>40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56.39</v>
      </c>
      <c r="I109" s="757">
        <v>52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41.44</v>
      </c>
      <c r="I110" s="757">
        <v>24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61.19</v>
      </c>
      <c r="I113" s="757">
        <v>61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571.53</v>
      </c>
      <c r="I115" s="757">
        <v>774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343.56</v>
      </c>
      <c r="I116" s="757">
        <v>476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42.5</v>
      </c>
      <c r="I117" s="757">
        <v>26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2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5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11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2013</v>
      </c>
      <c r="D127" s="269"/>
      <c r="E127" s="757"/>
      <c r="F127" s="544"/>
      <c r="G127" s="757"/>
      <c r="H127" s="269">
        <v>45.17</v>
      </c>
      <c r="I127" s="757">
        <v>31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164.44</v>
      </c>
      <c r="I128" s="757">
        <v>227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2013</v>
      </c>
      <c r="D129" s="269"/>
      <c r="E129" s="757"/>
      <c r="F129" s="544"/>
      <c r="G129" s="757"/>
      <c r="H129" s="269">
        <v>206.24</v>
      </c>
      <c r="I129" s="757">
        <v>288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2013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2013</v>
      </c>
      <c r="D131" s="269"/>
      <c r="E131" s="757"/>
      <c r="F131" s="544"/>
      <c r="G131" s="757"/>
      <c r="H131" s="269">
        <v>2694.41</v>
      </c>
      <c r="I131" s="757">
        <v>3549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2013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2013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2013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2013</v>
      </c>
      <c r="D135" s="269"/>
      <c r="E135" s="757"/>
      <c r="F135" s="544"/>
      <c r="G135" s="757"/>
      <c r="H135" s="269">
        <v>342.03</v>
      </c>
      <c r="I135" s="757">
        <v>474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2013</v>
      </c>
      <c r="D136" s="269"/>
      <c r="E136" s="757"/>
      <c r="F136" s="544"/>
      <c r="G136" s="757"/>
      <c r="H136" s="269">
        <v>259.26</v>
      </c>
      <c r="I136" s="757">
        <v>363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2013</v>
      </c>
      <c r="D137" s="269"/>
      <c r="E137" s="757"/>
      <c r="F137" s="544"/>
      <c r="G137" s="757"/>
      <c r="H137" s="269">
        <v>317.55</v>
      </c>
      <c r="I137" s="757">
        <v>442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89" t="s">
        <v>2022</v>
      </c>
      <c r="D139" s="269"/>
      <c r="E139" s="757"/>
      <c r="F139" s="544"/>
      <c r="G139" s="757"/>
      <c r="H139" s="269">
        <v>76</v>
      </c>
      <c r="I139" s="757">
        <v>800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2018</v>
      </c>
      <c r="D143" s="269"/>
      <c r="E143" s="757"/>
      <c r="F143" s="544"/>
      <c r="G143" s="757"/>
      <c r="H143" s="269">
        <v>35</v>
      </c>
      <c r="I143" s="757">
        <v>100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6" sqref="J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2015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6"/>
      <c r="B4" s="1017"/>
      <c r="C4" s="1017"/>
      <c r="D4" s="1017"/>
      <c r="E4" s="1017"/>
      <c r="F4" s="1017"/>
      <c r="G4" s="101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216851</v>
      </c>
      <c r="D13" s="34"/>
      <c r="E13" s="35" t="s">
        <v>33</v>
      </c>
      <c r="F13" s="34"/>
      <c r="G13" s="42">
        <v>22398.73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2398</v>
      </c>
      <c r="D15" s="34"/>
      <c r="E15" s="35" t="s">
        <v>10</v>
      </c>
      <c r="F15" s="34"/>
      <c r="G15" s="42">
        <v>3240.74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8737</v>
      </c>
      <c r="D17" s="34"/>
      <c r="E17" s="35" t="s">
        <v>278</v>
      </c>
      <c r="F17" s="34"/>
      <c r="G17" s="42">
        <v>7153.71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28" sqref="C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2003</v>
      </c>
      <c r="D3" s="328"/>
      <c r="E3" s="763"/>
      <c r="F3" s="620">
        <v>1492.67</v>
      </c>
      <c r="G3" s="763">
        <v>1403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2005</v>
      </c>
      <c r="D4" s="269"/>
      <c r="E4" s="757"/>
      <c r="F4" s="544">
        <v>193.26</v>
      </c>
      <c r="G4" s="757">
        <v>129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2003</v>
      </c>
      <c r="D5" s="328"/>
      <c r="E5" s="763"/>
      <c r="F5" s="620">
        <v>98.81</v>
      </c>
      <c r="G5" s="763">
        <v>37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2004</v>
      </c>
      <c r="D6" s="269"/>
      <c r="E6" s="757"/>
      <c r="F6" s="544">
        <v>160.94999999999999</v>
      </c>
      <c r="G6" s="757">
        <v>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2006</v>
      </c>
      <c r="D7" s="269"/>
      <c r="E7" s="757"/>
      <c r="F7" s="544">
        <v>197.32</v>
      </c>
      <c r="G7" s="757">
        <v>138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2002</v>
      </c>
      <c r="D8" s="269"/>
      <c r="E8" s="757"/>
      <c r="F8" s="544">
        <v>122.6</v>
      </c>
      <c r="G8" s="757">
        <v>60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2002</v>
      </c>
      <c r="D9" s="269"/>
      <c r="E9" s="757"/>
      <c r="F9" s="544">
        <v>123.61</v>
      </c>
      <c r="G9" s="757">
        <v>62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2002</v>
      </c>
      <c r="D10" s="269"/>
      <c r="E10" s="757"/>
      <c r="F10" s="544">
        <v>66</v>
      </c>
      <c r="G10" s="757">
        <v>93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2011</v>
      </c>
      <c r="D11" s="269"/>
      <c r="E11" s="757"/>
      <c r="F11" s="544">
        <v>77.98</v>
      </c>
      <c r="G11" s="757">
        <v>10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2005</v>
      </c>
      <c r="D12" s="269"/>
      <c r="E12" s="757"/>
      <c r="F12" s="544">
        <v>61.05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2005</v>
      </c>
      <c r="D13" s="269"/>
      <c r="E13" s="757"/>
      <c r="F13" s="544">
        <v>241.43</v>
      </c>
      <c r="G13" s="757">
        <v>176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2004</v>
      </c>
      <c r="D14" s="269"/>
      <c r="E14" s="757"/>
      <c r="F14" s="544">
        <v>73.28</v>
      </c>
      <c r="G14" s="757">
        <v>12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2005</v>
      </c>
      <c r="D15" s="269"/>
      <c r="E15" s="757"/>
      <c r="F15" s="544">
        <v>231.18</v>
      </c>
      <c r="G15" s="757">
        <v>166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2010</v>
      </c>
      <c r="D16" s="269"/>
      <c r="E16" s="757"/>
      <c r="F16" s="544">
        <v>36.130000000000003</v>
      </c>
      <c r="G16" s="757">
        <v>10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2010</v>
      </c>
      <c r="D17" s="269"/>
      <c r="E17" s="757"/>
      <c r="F17" s="544">
        <v>64.47</v>
      </c>
      <c r="G17" s="757">
        <v>4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218.62</v>
      </c>
      <c r="E19" s="546">
        <f>2179+11</f>
        <v>2190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92.24</v>
      </c>
      <c r="E21" s="546">
        <v>1196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18.38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54.11</v>
      </c>
      <c r="E23" s="546">
        <v>636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782.39</v>
      </c>
      <c r="E24" s="546">
        <f>7760+46</f>
        <v>7806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71.05</v>
      </c>
      <c r="E26" s="546">
        <v>872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18.66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16.920000000000002</v>
      </c>
      <c r="E28" s="546">
        <v>120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256.42</v>
      </c>
      <c r="E29" s="546">
        <f>2877+12</f>
        <v>2889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632.51</v>
      </c>
      <c r="E30" s="546">
        <f>8320+31</f>
        <v>8351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18.75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23.42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447.18</v>
      </c>
      <c r="E33" s="546">
        <f>4429+25</f>
        <v>4454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60.51</v>
      </c>
      <c r="E35" s="546">
        <v>730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17.010000000000002</v>
      </c>
      <c r="E36" s="546">
        <v>121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3750.73</v>
      </c>
      <c r="E37" s="546">
        <f>64500+149</f>
        <v>64649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104.35</v>
      </c>
      <c r="E38" s="546">
        <v>1336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415.62</v>
      </c>
      <c r="E39" s="546"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18.739999999999998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1361.97</v>
      </c>
      <c r="E43" s="546">
        <f>18240+67</f>
        <v>18307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11.59</v>
      </c>
      <c r="E45" s="546">
        <v>30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113.28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35.770000000000003</v>
      </c>
      <c r="E48" s="546">
        <v>383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282.82</v>
      </c>
      <c r="E49" s="546">
        <f>2332+17</f>
        <v>2349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9.1</v>
      </c>
      <c r="E50" s="546">
        <v>11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308.33999999999997</v>
      </c>
      <c r="E51" s="546">
        <f>3557+15</f>
        <v>3572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115.51</v>
      </c>
      <c r="E52" s="546">
        <v>1485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0.09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1072.25</v>
      </c>
      <c r="E54" s="546">
        <f>13860+59</f>
        <v>13919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9.17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69.709999999999994</v>
      </c>
      <c r="E56" s="546">
        <f>32+3</f>
        <v>35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1258.21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474.41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331.56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181.4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959.57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72.260000000000005</v>
      </c>
      <c r="E64" s="546">
        <f>229+2</f>
        <v>231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610.13</v>
      </c>
      <c r="E65" s="546">
        <f>9254+18</f>
        <v>9272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379.76</v>
      </c>
      <c r="E66" s="546">
        <f>2640+22</f>
        <v>2662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310.36</v>
      </c>
      <c r="E67" s="546">
        <f>2607+18</f>
        <v>2625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2008</v>
      </c>
      <c r="D69" s="269">
        <v>279</v>
      </c>
      <c r="E69" s="757">
        <v>2177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138</v>
      </c>
      <c r="E70" s="757">
        <v>708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109</v>
      </c>
      <c r="E71" s="757">
        <v>443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56</v>
      </c>
      <c r="E72" s="757">
        <v>143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287</v>
      </c>
      <c r="E74" s="757">
        <v>2063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114</v>
      </c>
      <c r="E75" s="757">
        <v>725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72</v>
      </c>
      <c r="E76" s="757">
        <v>287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85</v>
      </c>
      <c r="E77" s="757">
        <v>220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60</v>
      </c>
      <c r="E79" s="757">
        <v>178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169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1946</v>
      </c>
      <c r="E81" s="757">
        <v>11880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6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349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717</v>
      </c>
      <c r="E86" s="757">
        <v>5760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166</v>
      </c>
      <c r="E88" s="757">
        <v>520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112</v>
      </c>
      <c r="E90" s="757">
        <v>271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184</v>
      </c>
      <c r="E91" s="757">
        <v>1311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259.81</v>
      </c>
      <c r="E92" s="757">
        <v>1822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1509</v>
      </c>
      <c r="E93" s="757">
        <v>12840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132</v>
      </c>
      <c r="E94" s="757">
        <v>654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2008</v>
      </c>
      <c r="D96" s="269"/>
      <c r="E96" s="757"/>
      <c r="F96" s="544"/>
      <c r="G96" s="757"/>
      <c r="H96" s="269">
        <v>262.08999999999997</v>
      </c>
      <c r="I96" s="757">
        <v>367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2008</v>
      </c>
      <c r="D97" s="269"/>
      <c r="E97" s="757"/>
      <c r="F97" s="544"/>
      <c r="G97" s="757"/>
      <c r="H97" s="269">
        <v>425.42</v>
      </c>
      <c r="I97" s="757">
        <v>583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2008</v>
      </c>
      <c r="D98" s="269"/>
      <c r="E98" s="757"/>
      <c r="F98" s="544"/>
      <c r="G98" s="757"/>
      <c r="H98" s="269">
        <v>49.45</v>
      </c>
      <c r="I98" s="757">
        <v>39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2008</v>
      </c>
      <c r="D99" s="269"/>
      <c r="E99" s="757"/>
      <c r="F99" s="544"/>
      <c r="G99" s="757"/>
      <c r="H99" s="269">
        <v>57.46</v>
      </c>
      <c r="I99" s="757">
        <v>54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2008</v>
      </c>
      <c r="D100" s="269"/>
      <c r="E100" s="757"/>
      <c r="F100" s="544"/>
      <c r="G100" s="757"/>
      <c r="H100" s="269">
        <v>54.25</v>
      </c>
      <c r="I100" s="757">
        <v>48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2008</v>
      </c>
      <c r="D101" s="269"/>
      <c r="E101" s="757"/>
      <c r="F101" s="544"/>
      <c r="G101" s="757"/>
      <c r="H101" s="269">
        <v>59.06</v>
      </c>
      <c r="I101" s="757">
        <v>57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2008</v>
      </c>
      <c r="D102" s="269"/>
      <c r="E102" s="757"/>
      <c r="F102" s="544"/>
      <c r="G102" s="757"/>
      <c r="H102" s="269">
        <v>44.11</v>
      </c>
      <c r="I102" s="757">
        <v>29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2008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2008</v>
      </c>
      <c r="D104" s="269"/>
      <c r="E104" s="757"/>
      <c r="F104" s="544"/>
      <c r="G104" s="757"/>
      <c r="H104" s="269">
        <v>143.68</v>
      </c>
      <c r="I104" s="757">
        <v>195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2008</v>
      </c>
      <c r="D105" s="269"/>
      <c r="E105" s="757"/>
      <c r="F105" s="544"/>
      <c r="G105" s="757"/>
      <c r="H105" s="269">
        <v>39.83</v>
      </c>
      <c r="I105" s="757">
        <v>21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2008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2008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2008</v>
      </c>
      <c r="D108" s="269"/>
      <c r="E108" s="757"/>
      <c r="F108" s="544"/>
      <c r="G108" s="757"/>
      <c r="H108" s="269">
        <v>109.93</v>
      </c>
      <c r="I108" s="757">
        <v>143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2008</v>
      </c>
      <c r="D109" s="269"/>
      <c r="E109" s="757"/>
      <c r="F109" s="544"/>
      <c r="G109" s="757"/>
      <c r="H109" s="269">
        <v>55.32</v>
      </c>
      <c r="I109" s="757">
        <v>50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2008</v>
      </c>
      <c r="D110" s="269"/>
      <c r="E110" s="757"/>
      <c r="F110" s="544"/>
      <c r="G110" s="757"/>
      <c r="H110" s="269">
        <v>45.71</v>
      </c>
      <c r="I110" s="757">
        <v>32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2008</v>
      </c>
      <c r="D111" s="269"/>
      <c r="E111" s="757"/>
      <c r="F111" s="544"/>
      <c r="G111" s="757"/>
      <c r="H111" s="269">
        <v>39.299999999999997</v>
      </c>
      <c r="I111" s="757">
        <v>6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2008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2008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2008</v>
      </c>
      <c r="D114" s="269"/>
      <c r="E114" s="757"/>
      <c r="F114" s="544"/>
      <c r="G114" s="757"/>
      <c r="H114" s="269">
        <v>39.299999999999997</v>
      </c>
      <c r="I114" s="757">
        <v>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2008</v>
      </c>
      <c r="D115" s="269"/>
      <c r="E115" s="757"/>
      <c r="F115" s="544"/>
      <c r="G115" s="757"/>
      <c r="H115" s="269">
        <v>509.57</v>
      </c>
      <c r="I115" s="757">
        <v>693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2008</v>
      </c>
      <c r="D116" s="269"/>
      <c r="E116" s="757"/>
      <c r="F116" s="544"/>
      <c r="G116" s="757"/>
      <c r="H116" s="269">
        <v>151.46</v>
      </c>
      <c r="I116" s="757">
        <v>207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2008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2008</v>
      </c>
      <c r="D118" s="269"/>
      <c r="E118" s="757"/>
      <c r="F118" s="544"/>
      <c r="G118" s="757"/>
      <c r="H118" s="269">
        <v>39.299999999999997</v>
      </c>
      <c r="I118" s="757">
        <v>7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2008</v>
      </c>
      <c r="D119" s="269"/>
      <c r="E119" s="757"/>
      <c r="F119" s="544"/>
      <c r="G119" s="757"/>
      <c r="H119" s="269">
        <v>91.76</v>
      </c>
      <c r="I119" s="757">
        <v>115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2008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2008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2008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2008</v>
      </c>
      <c r="D123" s="269"/>
      <c r="E123" s="757"/>
      <c r="F123" s="544"/>
      <c r="G123" s="757"/>
      <c r="H123" s="269">
        <v>126.05</v>
      </c>
      <c r="I123" s="757">
        <v>106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2008</v>
      </c>
      <c r="D124" s="269"/>
      <c r="E124" s="757"/>
      <c r="F124" s="544"/>
      <c r="G124" s="757"/>
      <c r="H124" s="269">
        <v>46.24</v>
      </c>
      <c r="I124" s="757">
        <v>33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2008</v>
      </c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2012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2001</v>
      </c>
      <c r="D127" s="269"/>
      <c r="E127" s="757"/>
      <c r="F127" s="544"/>
      <c r="G127" s="757"/>
      <c r="H127" s="269">
        <v>47.31</v>
      </c>
      <c r="I127" s="757">
        <v>35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2008</v>
      </c>
      <c r="D128" s="269"/>
      <c r="E128" s="757"/>
      <c r="F128" s="544"/>
      <c r="G128" s="757"/>
      <c r="H128" s="269">
        <v>202.7</v>
      </c>
      <c r="I128" s="757">
        <v>283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2001</v>
      </c>
      <c r="D129" s="269"/>
      <c r="E129" s="757"/>
      <c r="F129" s="544"/>
      <c r="G129" s="757"/>
      <c r="H129" s="269">
        <v>89.16</v>
      </c>
      <c r="I129" s="757">
        <v>111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2001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2001</v>
      </c>
      <c r="D131" s="269"/>
      <c r="E131" s="757"/>
      <c r="F131" s="544"/>
      <c r="G131" s="757"/>
      <c r="H131" s="269">
        <v>2637.03</v>
      </c>
      <c r="I131" s="757">
        <v>3474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2001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2001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2001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2001</v>
      </c>
      <c r="D135" s="269"/>
      <c r="E135" s="757"/>
      <c r="F135" s="544"/>
      <c r="G135" s="757"/>
      <c r="H135" s="269">
        <v>420.83</v>
      </c>
      <c r="I135" s="757">
        <v>577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2001</v>
      </c>
      <c r="D136" s="269"/>
      <c r="E136" s="757"/>
      <c r="F136" s="544"/>
      <c r="G136" s="757"/>
      <c r="H136" s="269">
        <v>342.8</v>
      </c>
      <c r="I136" s="757">
        <v>475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2001</v>
      </c>
      <c r="D137" s="269"/>
      <c r="E137" s="757"/>
      <c r="F137" s="544"/>
      <c r="G137" s="757"/>
      <c r="H137" s="269">
        <v>332.09</v>
      </c>
      <c r="I137" s="757">
        <v>461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2009</v>
      </c>
      <c r="D139" s="269"/>
      <c r="E139" s="757"/>
      <c r="F139" s="544"/>
      <c r="G139" s="757"/>
      <c r="H139" s="269">
        <v>68</v>
      </c>
      <c r="I139" s="757">
        <v>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2004</v>
      </c>
      <c r="D143" s="269"/>
      <c r="E143" s="757"/>
      <c r="F143" s="544"/>
      <c r="G143" s="757"/>
      <c r="H143" s="269">
        <v>35</v>
      </c>
      <c r="I143" s="757">
        <v>100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24" sqref="F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2007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3"/>
      <c r="B4" s="1014"/>
      <c r="C4" s="1014"/>
      <c r="D4" s="1014"/>
      <c r="E4" s="1014"/>
      <c r="F4" s="1014"/>
      <c r="G4" s="101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198625</v>
      </c>
      <c r="D13" s="34"/>
      <c r="E13" s="35" t="s">
        <v>33</v>
      </c>
      <c r="F13" s="34"/>
      <c r="G13" s="42">
        <v>21217.15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7007</v>
      </c>
      <c r="D15" s="34"/>
      <c r="E15" s="35" t="s">
        <v>10</v>
      </c>
      <c r="F15" s="34"/>
      <c r="G15" s="42">
        <v>7428.22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334564</v>
      </c>
      <c r="D17" s="34"/>
      <c r="E17" s="35" t="s">
        <v>278</v>
      </c>
      <c r="F17" s="34"/>
      <c r="G17" s="42">
        <v>5442.22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B22" sqref="B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2265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82"/>
      <c r="B4" s="1083"/>
      <c r="C4" s="1083"/>
      <c r="D4" s="1083"/>
      <c r="E4" s="1083"/>
      <c r="F4" s="1083"/>
      <c r="G4" s="10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247842</v>
      </c>
      <c r="D13" s="34"/>
      <c r="E13" s="35" t="s">
        <v>33</v>
      </c>
      <c r="F13" s="34"/>
      <c r="G13" s="42">
        <v>23324.89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1082</v>
      </c>
      <c r="D15" s="34"/>
      <c r="E15" s="35" t="s">
        <v>10</v>
      </c>
      <c r="F15" s="34"/>
      <c r="G15" s="42">
        <v>1945.06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12174</v>
      </c>
      <c r="D17" s="34"/>
      <c r="E17" s="35" t="s">
        <v>278</v>
      </c>
      <c r="F17" s="34"/>
      <c r="G17" s="42">
        <v>9890.2000000000007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E128" sqref="E1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1992</v>
      </c>
      <c r="D3" s="328"/>
      <c r="E3" s="763"/>
      <c r="F3" s="620">
        <v>1967.2</v>
      </c>
      <c r="G3" s="763">
        <v>2056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1991</v>
      </c>
      <c r="D4" s="269"/>
      <c r="E4" s="757"/>
      <c r="F4" s="544">
        <v>531.24</v>
      </c>
      <c r="G4" s="757">
        <v>506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1995</v>
      </c>
      <c r="D5" s="328"/>
      <c r="E5" s="763"/>
      <c r="F5" s="620">
        <v>557.30999999999995</v>
      </c>
      <c r="G5" s="763">
        <v>538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1999</v>
      </c>
      <c r="D6" s="269"/>
      <c r="E6" s="757"/>
      <c r="F6" s="544">
        <v>236.54</v>
      </c>
      <c r="G6" s="757">
        <v>187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1990</v>
      </c>
      <c r="D7" s="269"/>
      <c r="E7" s="757"/>
      <c r="F7" s="544">
        <v>94.16</v>
      </c>
      <c r="G7" s="757">
        <v>31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1996</v>
      </c>
      <c r="D8" s="269"/>
      <c r="E8" s="757"/>
      <c r="F8" s="544">
        <v>685.07</v>
      </c>
      <c r="G8" s="757">
        <v>669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1996</v>
      </c>
      <c r="D9" s="269"/>
      <c r="E9" s="757"/>
      <c r="F9" s="544">
        <v>489.8</v>
      </c>
      <c r="G9" s="757">
        <v>460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1996</v>
      </c>
      <c r="D10" s="269"/>
      <c r="E10" s="757"/>
      <c r="F10" s="544">
        <v>67</v>
      </c>
      <c r="G10" s="757">
        <v>2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1990</v>
      </c>
      <c r="D11" s="269"/>
      <c r="E11" s="757"/>
      <c r="F11" s="544">
        <v>101.88</v>
      </c>
      <c r="G11" s="757">
        <v>40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1991</v>
      </c>
      <c r="D12" s="269"/>
      <c r="E12" s="757"/>
      <c r="F12" s="544">
        <v>87.04</v>
      </c>
      <c r="G12" s="757">
        <v>29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1991</v>
      </c>
      <c r="D13" s="269"/>
      <c r="E13" s="757"/>
      <c r="F13" s="544">
        <v>1457.82</v>
      </c>
      <c r="G13" s="757">
        <v>1501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1999</v>
      </c>
      <c r="D14" s="269"/>
      <c r="E14" s="757"/>
      <c r="F14" s="544">
        <v>142.15</v>
      </c>
      <c r="G14" s="757">
        <v>87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1991</v>
      </c>
      <c r="D15" s="269"/>
      <c r="E15" s="757"/>
      <c r="F15" s="544">
        <v>784.53</v>
      </c>
      <c r="G15" s="757">
        <v>778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2000</v>
      </c>
      <c r="D16" s="269"/>
      <c r="E16" s="757"/>
      <c r="F16" s="544">
        <v>128.38999999999999</v>
      </c>
      <c r="G16" s="757">
        <v>85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2000</v>
      </c>
      <c r="D17" s="269"/>
      <c r="E17" s="757"/>
      <c r="F17" s="544">
        <v>98.09</v>
      </c>
      <c r="G17" s="757">
        <v>38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202.57</v>
      </c>
      <c r="E19" s="546">
        <f>1769+11</f>
        <v>1780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27.94</v>
      </c>
      <c r="E21" s="546">
        <v>281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18.29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46.74</v>
      </c>
      <c r="E23" s="546">
        <v>536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653.42999999999995</v>
      </c>
      <c r="E24" s="546">
        <f>5080+43</f>
        <v>5123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118.59</v>
      </c>
      <c r="E26" s="546">
        <v>1543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15.58</v>
      </c>
      <c r="E28" s="546">
        <v>102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236.88</v>
      </c>
      <c r="E29" s="546">
        <f>2105+13</f>
        <v>2118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632.78</v>
      </c>
      <c r="E30" s="546">
        <v>8232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18.66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298.01</v>
      </c>
      <c r="E33" s="546">
        <f>3173+14</f>
        <v>3187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11.42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62.92</v>
      </c>
      <c r="E35" s="546">
        <v>764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18.16</v>
      </c>
      <c r="E36" s="546">
        <v>138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3450.73</v>
      </c>
      <c r="E37" s="546">
        <f>59300+134</f>
        <v>59434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155.19</v>
      </c>
      <c r="E38" s="546">
        <v>2055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66.180000000000007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21.11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18.66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1020.66</v>
      </c>
      <c r="E43" s="546">
        <f>11640+57</f>
        <v>11697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11.42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72.14</v>
      </c>
      <c r="E45" s="546">
        <v>893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28.88</v>
      </c>
      <c r="E48" s="546">
        <v>288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260.45999999999998</v>
      </c>
      <c r="E49" s="546">
        <f>1736+17</f>
        <v>1753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8.94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307.22000000000003</v>
      </c>
      <c r="E51" s="546">
        <f>3816+14</f>
        <v>3830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124.94</v>
      </c>
      <c r="E52" s="546">
        <v>1617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14.71</v>
      </c>
      <c r="E53" s="546">
        <v>45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850.31</v>
      </c>
      <c r="E54" s="546">
        <f>11040+44</f>
        <v>11084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1253.3499999999999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473.12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330.89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181.11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942.64</v>
      </c>
      <c r="E62" s="546">
        <v>5200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122.15</v>
      </c>
      <c r="E64" s="546">
        <f>1326+3</f>
        <v>1329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541.22</v>
      </c>
      <c r="E65" s="546">
        <f>7735+16</f>
        <v>7751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280.38</v>
      </c>
      <c r="E66" s="546">
        <v>819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269.35000000000002</v>
      </c>
      <c r="E67" s="546">
        <f>2323+15</f>
        <v>2338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1997</v>
      </c>
      <c r="D69" s="269">
        <v>313</v>
      </c>
      <c r="E69" s="757">
        <v>2489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156</v>
      </c>
      <c r="E70" s="757">
        <v>870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117</v>
      </c>
      <c r="E71" s="757">
        <v>512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218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81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310</v>
      </c>
      <c r="E74" s="757">
        <v>2272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315</v>
      </c>
      <c r="E75" s="757">
        <v>2555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102</v>
      </c>
      <c r="E77" s="757">
        <v>382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52</v>
      </c>
      <c r="E79" s="757">
        <v>101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84</v>
      </c>
      <c r="E80" s="757">
        <v>215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2189</v>
      </c>
      <c r="E81" s="757">
        <v>15240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579</v>
      </c>
      <c r="E85" s="757">
        <v>3900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743</v>
      </c>
      <c r="E86" s="757">
        <v>6000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178</v>
      </c>
      <c r="E88" s="757">
        <v>638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69</v>
      </c>
      <c r="E89" s="757">
        <v>79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114</v>
      </c>
      <c r="E90" s="757">
        <v>286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136</v>
      </c>
      <c r="E91" s="757">
        <v>873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1347</v>
      </c>
      <c r="E93" s="757">
        <v>9240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191</v>
      </c>
      <c r="E94" s="757">
        <v>1190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170.93</v>
      </c>
      <c r="I96" s="757">
        <v>237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263.5</v>
      </c>
      <c r="I97" s="757">
        <v>369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47.84</v>
      </c>
      <c r="I99" s="757">
        <v>36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77.209999999999994</v>
      </c>
      <c r="I100" s="757">
        <v>91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39.299999999999997</v>
      </c>
      <c r="I101" s="757">
        <v>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55.32</v>
      </c>
      <c r="I102" s="757">
        <v>50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157.94999999999999</v>
      </c>
      <c r="I104" s="757">
        <v>217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15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1997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41.44</v>
      </c>
      <c r="I109" s="757">
        <v>24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43.57</v>
      </c>
      <c r="I110" s="757">
        <v>28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57.46</v>
      </c>
      <c r="I115" s="757">
        <v>54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142.38</v>
      </c>
      <c r="I116" s="757">
        <v>193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41.97</v>
      </c>
      <c r="I118" s="757">
        <v>25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77.209999999999994</v>
      </c>
      <c r="I122" s="757">
        <v>91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64.14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1997</v>
      </c>
      <c r="D124" s="269"/>
      <c r="E124" s="757"/>
      <c r="F124" s="544"/>
      <c r="G124" s="757"/>
      <c r="H124" s="269">
        <v>45.17</v>
      </c>
      <c r="I124" s="757">
        <v>31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1989</v>
      </c>
      <c r="D127" s="269"/>
      <c r="E127" s="757"/>
      <c r="F127" s="544"/>
      <c r="G127" s="757"/>
      <c r="H127" s="269">
        <v>39.299999999999997</v>
      </c>
      <c r="I127" s="757">
        <v>20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1997</v>
      </c>
      <c r="D128" s="269"/>
      <c r="E128" s="757"/>
      <c r="F128" s="544"/>
      <c r="G128" s="757"/>
      <c r="H128" s="269">
        <v>180.08</v>
      </c>
      <c r="I128" s="757">
        <v>251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1989</v>
      </c>
      <c r="D129" s="269"/>
      <c r="E129" s="757"/>
      <c r="F129" s="544"/>
      <c r="G129" s="757"/>
      <c r="H129" s="269">
        <v>67.599999999999994</v>
      </c>
      <c r="I129" s="757">
        <v>73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1989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1989</v>
      </c>
      <c r="D131" s="269"/>
      <c r="E131" s="757"/>
      <c r="F131" s="544"/>
      <c r="G131" s="757"/>
      <c r="H131" s="269">
        <v>1790.18</v>
      </c>
      <c r="I131" s="757">
        <v>2367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1989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1989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1989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1989</v>
      </c>
      <c r="D135" s="269"/>
      <c r="E135" s="757"/>
      <c r="F135" s="544"/>
      <c r="G135" s="757"/>
      <c r="H135" s="269">
        <v>286.95</v>
      </c>
      <c r="I135" s="757">
        <v>402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1989</v>
      </c>
      <c r="D136" s="269"/>
      <c r="E136" s="757"/>
      <c r="F136" s="544"/>
      <c r="G136" s="757"/>
      <c r="H136" s="269">
        <v>216.84</v>
      </c>
      <c r="I136" s="757">
        <v>303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1989</v>
      </c>
      <c r="D137" s="269"/>
      <c r="E137" s="757"/>
      <c r="F137" s="544"/>
      <c r="G137" s="757"/>
      <c r="H137" s="269">
        <v>377.99</v>
      </c>
      <c r="I137" s="757">
        <v>521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1997</v>
      </c>
      <c r="D139" s="269"/>
      <c r="E139" s="757"/>
      <c r="F139" s="544"/>
      <c r="G139" s="757"/>
      <c r="H139" s="269">
        <v>152</v>
      </c>
      <c r="I139" s="757">
        <v>4600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1998</v>
      </c>
      <c r="D143" s="269"/>
      <c r="E143" s="757"/>
      <c r="F143" s="544"/>
      <c r="G143" s="757"/>
      <c r="H143" s="269">
        <v>35</v>
      </c>
      <c r="I143" s="757">
        <v>500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1994</v>
      </c>
      <c r="D145" s="269"/>
      <c r="E145" s="757"/>
      <c r="F145" s="544"/>
      <c r="G145" s="757"/>
      <c r="H145" s="269">
        <v>184.89</v>
      </c>
      <c r="I145" s="757">
        <v>323990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1993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0"/>
      <c r="B4" s="1011"/>
      <c r="C4" s="1011"/>
      <c r="D4" s="1011"/>
      <c r="E4" s="1011"/>
      <c r="F4" s="1011"/>
      <c r="G4" s="101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204742</v>
      </c>
      <c r="D13" s="34"/>
      <c r="E13" s="35" t="s">
        <v>33</v>
      </c>
      <c r="F13" s="34"/>
      <c r="G13" s="42">
        <v>21233.23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9414</v>
      </c>
      <c r="D15" s="34"/>
      <c r="E15" s="35" t="s">
        <v>10</v>
      </c>
      <c r="F15" s="34"/>
      <c r="G15" s="42">
        <v>8965.41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6011</v>
      </c>
      <c r="D17" s="34"/>
      <c r="E17" s="35" t="s">
        <v>278</v>
      </c>
      <c r="F17" s="34"/>
      <c r="G17" s="42">
        <v>5062.38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6" sqref="C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1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1980</v>
      </c>
      <c r="D3" s="328"/>
      <c r="E3" s="763"/>
      <c r="F3" s="620">
        <v>1733.76</v>
      </c>
      <c r="G3" s="763">
        <v>1954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1983</v>
      </c>
      <c r="D4" s="269"/>
      <c r="E4" s="757"/>
      <c r="F4" s="544">
        <v>745.85</v>
      </c>
      <c r="G4" s="757">
        <v>806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1982</v>
      </c>
      <c r="D5" s="328"/>
      <c r="E5" s="763"/>
      <c r="F5" s="620">
        <v>641.84</v>
      </c>
      <c r="G5" s="763">
        <v>677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1987</v>
      </c>
      <c r="D6" s="269"/>
      <c r="E6" s="757"/>
      <c r="F6" s="544">
        <v>346.66</v>
      </c>
      <c r="G6" s="757">
        <v>338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1985</v>
      </c>
      <c r="D7" s="269"/>
      <c r="E7" s="757"/>
      <c r="F7" s="544">
        <v>224.74</v>
      </c>
      <c r="G7" s="757">
        <v>198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1984</v>
      </c>
      <c r="D8" s="269"/>
      <c r="E8" s="757"/>
      <c r="F8" s="544">
        <v>852.27</v>
      </c>
      <c r="G8" s="757">
        <v>928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1984</v>
      </c>
      <c r="D9" s="269"/>
      <c r="E9" s="757"/>
      <c r="F9" s="544">
        <v>621.76</v>
      </c>
      <c r="G9" s="757">
        <v>658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1984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1981</v>
      </c>
      <c r="D11" s="269"/>
      <c r="E11" s="757"/>
      <c r="F11" s="544">
        <v>100.11</v>
      </c>
      <c r="G11" s="757">
        <v>41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1983</v>
      </c>
      <c r="D12" s="269"/>
      <c r="E12" s="757"/>
      <c r="F12" s="544">
        <v>107.67</v>
      </c>
      <c r="G12" s="757">
        <v>56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1983</v>
      </c>
      <c r="D13" s="269"/>
      <c r="E13" s="757"/>
      <c r="F13" s="544">
        <v>2062.21</v>
      </c>
      <c r="G13" s="757">
        <v>2353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1987</v>
      </c>
      <c r="D14" s="269"/>
      <c r="E14" s="757"/>
      <c r="F14" s="544">
        <v>220.3</v>
      </c>
      <c r="G14" s="757">
        <v>189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1983</v>
      </c>
      <c r="D15" s="269"/>
      <c r="E15" s="757"/>
      <c r="F15" s="544">
        <v>818.17</v>
      </c>
      <c r="G15" s="757">
        <v>891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1988</v>
      </c>
      <c r="D16" s="269"/>
      <c r="E16" s="757"/>
      <c r="F16" s="544">
        <v>207.66</v>
      </c>
      <c r="G16" s="757">
        <v>156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1988</v>
      </c>
      <c r="D17" s="269"/>
      <c r="E17" s="757"/>
      <c r="F17" s="544">
        <v>217.44</v>
      </c>
      <c r="G17" s="757">
        <v>169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198.07</v>
      </c>
      <c r="E19" s="546">
        <f>1163+11</f>
        <v>1174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31.88</v>
      </c>
      <c r="E21" s="546">
        <v>339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39.020000000000003</v>
      </c>
      <c r="E23" s="546">
        <v>430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407.43</v>
      </c>
      <c r="E24" s="546">
        <f>4880+18</f>
        <v>4898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135.46</v>
      </c>
      <c r="E26" s="546">
        <v>1779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14.96</v>
      </c>
      <c r="E28" s="546">
        <v>93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161.66999999999999</v>
      </c>
      <c r="E29" s="546">
        <f>1819+6</f>
        <v>1825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631.33000000000004</v>
      </c>
      <c r="E30" s="546">
        <f>7960+33</f>
        <v>7993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301.93</v>
      </c>
      <c r="E33" s="546">
        <f>3309+14</f>
        <v>3323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42.47</v>
      </c>
      <c r="E35" s="546">
        <v>478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18.32</v>
      </c>
      <c r="E36" s="546">
        <v>140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2925.85</v>
      </c>
      <c r="E37" s="546">
        <f>48100+104</f>
        <v>48204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142.1</v>
      </c>
      <c r="E38" s="546">
        <v>1872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66.180000000000007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1045.83</v>
      </c>
      <c r="E43" s="546">
        <f>12420+57</f>
        <v>12477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91.22</v>
      </c>
      <c r="E45" s="546">
        <v>1160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40.33</v>
      </c>
      <c r="E48" s="546">
        <v>448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193.57</v>
      </c>
      <c r="E49" s="546">
        <f>1682+10</f>
        <v>1692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8.94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306.54000000000002</v>
      </c>
      <c r="E51" s="546">
        <f>3797+14</f>
        <v>3811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101.22</v>
      </c>
      <c r="E52" s="546">
        <v>1301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44.06</v>
      </c>
      <c r="E53" s="546">
        <v>135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869.9</v>
      </c>
      <c r="E54" s="546">
        <f>12480+37</f>
        <v>12517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56.68</v>
      </c>
      <c r="E55" s="546">
        <v>693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109.11</v>
      </c>
      <c r="E64" s="546">
        <v>1283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632.72</v>
      </c>
      <c r="E65" s="546">
        <f>10117+18</f>
        <v>10135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142.54</v>
      </c>
      <c r="E66" s="546">
        <v>806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280.60000000000002</v>
      </c>
      <c r="E67" s="546">
        <f>2668+15</f>
        <v>2683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323</v>
      </c>
      <c r="E69" s="757">
        <v>2578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152</v>
      </c>
      <c r="E70" s="757">
        <v>830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109</v>
      </c>
      <c r="E71" s="757">
        <v>443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68</v>
      </c>
      <c r="E72" s="757">
        <v>253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47</v>
      </c>
      <c r="E73" s="757">
        <v>56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304</v>
      </c>
      <c r="E74" s="757">
        <v>2219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567</v>
      </c>
      <c r="E75" s="757">
        <v>4860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120</v>
      </c>
      <c r="E77" s="757">
        <v>546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102</v>
      </c>
      <c r="E79" s="757">
        <v>565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88</v>
      </c>
      <c r="E80" s="757">
        <v>252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2312</v>
      </c>
      <c r="E81" s="757">
        <v>18360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710</v>
      </c>
      <c r="E85" s="757">
        <v>6305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691</v>
      </c>
      <c r="E86" s="757">
        <v>5640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1986</v>
      </c>
      <c r="D88" s="269">
        <v>207</v>
      </c>
      <c r="E88" s="757">
        <v>899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65</v>
      </c>
      <c r="E89" s="757">
        <v>42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505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142</v>
      </c>
      <c r="E91" s="757">
        <v>925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1702</v>
      </c>
      <c r="E93" s="757">
        <v>14280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153</v>
      </c>
      <c r="E94" s="757">
        <v>840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1986</v>
      </c>
      <c r="D96" s="269"/>
      <c r="E96" s="757"/>
      <c r="F96" s="544"/>
      <c r="G96" s="757"/>
      <c r="H96" s="269">
        <v>133.94</v>
      </c>
      <c r="I96" s="757">
        <v>180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1986</v>
      </c>
      <c r="D97" s="269"/>
      <c r="E97" s="757"/>
      <c r="F97" s="544"/>
      <c r="G97" s="757"/>
      <c r="H97" s="269">
        <v>211.89</v>
      </c>
      <c r="I97" s="757">
        <v>296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1986</v>
      </c>
      <c r="D98" s="269"/>
      <c r="E98" s="757"/>
      <c r="F98" s="544"/>
      <c r="G98" s="757"/>
      <c r="H98" s="269">
        <v>39.299999999999997</v>
      </c>
      <c r="I98" s="757">
        <v>16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1986</v>
      </c>
      <c r="D99" s="269"/>
      <c r="E99" s="757"/>
      <c r="F99" s="544"/>
      <c r="G99" s="757"/>
      <c r="H99" s="269">
        <v>48.38</v>
      </c>
      <c r="I99" s="757">
        <v>37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1986</v>
      </c>
      <c r="D100" s="269"/>
      <c r="E100" s="757"/>
      <c r="F100" s="544"/>
      <c r="G100" s="757"/>
      <c r="H100" s="269">
        <v>66</v>
      </c>
      <c r="I100" s="757">
        <v>70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1986</v>
      </c>
      <c r="D101" s="269"/>
      <c r="E101" s="757"/>
      <c r="F101" s="544"/>
      <c r="G101" s="757"/>
      <c r="H101" s="269">
        <v>39.299999999999997</v>
      </c>
      <c r="I101" s="757">
        <v>5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1986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1986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1986</v>
      </c>
      <c r="D104" s="269"/>
      <c r="E104" s="757"/>
      <c r="F104" s="544"/>
      <c r="G104" s="757"/>
      <c r="H104" s="269">
        <v>80.42</v>
      </c>
      <c r="I104" s="757">
        <v>97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1986</v>
      </c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1986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1986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1986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1986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1986</v>
      </c>
      <c r="D110" s="269"/>
      <c r="E110" s="757"/>
      <c r="F110" s="544"/>
      <c r="G110" s="757"/>
      <c r="H110" s="269">
        <v>39.299999999999997</v>
      </c>
      <c r="I110" s="757">
        <v>3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1986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1986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1986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1986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1986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1986</v>
      </c>
      <c r="D116" s="269"/>
      <c r="E116" s="757"/>
      <c r="F116" s="544"/>
      <c r="G116" s="757"/>
      <c r="H116" s="269">
        <v>72.94</v>
      </c>
      <c r="I116" s="757">
        <v>83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1986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1986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1986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1986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1986</v>
      </c>
      <c r="D121" s="269"/>
      <c r="E121" s="757"/>
      <c r="F121" s="544"/>
      <c r="G121" s="757"/>
      <c r="H121" s="269">
        <v>57.12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1986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1986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89" t="s">
        <v>1986</v>
      </c>
      <c r="D124" s="269"/>
      <c r="E124" s="757"/>
      <c r="F124" s="544"/>
      <c r="G124" s="757"/>
      <c r="H124" s="269">
        <v>52.65</v>
      </c>
      <c r="I124" s="757">
        <v>45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1986</v>
      </c>
      <c r="D125" s="269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1986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1979</v>
      </c>
      <c r="D127" s="269"/>
      <c r="E127" s="757"/>
      <c r="F127" s="544"/>
      <c r="G127" s="757"/>
      <c r="H127" s="269">
        <v>42.5</v>
      </c>
      <c r="I127" s="757">
        <v>26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1986</v>
      </c>
      <c r="D128" s="269"/>
      <c r="E128" s="757"/>
      <c r="F128" s="544"/>
      <c r="G128" s="757"/>
      <c r="H128" s="269">
        <v>140.43</v>
      </c>
      <c r="I128" s="757">
        <v>190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1979</v>
      </c>
      <c r="D129" s="269"/>
      <c r="E129" s="757"/>
      <c r="F129" s="544"/>
      <c r="G129" s="757"/>
      <c r="H129" s="269">
        <v>68.67</v>
      </c>
      <c r="I129" s="757">
        <v>75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1979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1979</v>
      </c>
      <c r="D131" s="269"/>
      <c r="E131" s="757"/>
      <c r="F131" s="544"/>
      <c r="G131" s="757"/>
      <c r="H131" s="269">
        <v>2101.5300000000002</v>
      </c>
      <c r="I131" s="757">
        <v>2774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1979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1979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1979</v>
      </c>
      <c r="D134" s="269"/>
      <c r="E134" s="757"/>
      <c r="F134" s="544"/>
      <c r="G134" s="757"/>
      <c r="H134" s="269">
        <v>39.299999999999997</v>
      </c>
      <c r="I134" s="757">
        <v>5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1979</v>
      </c>
      <c r="D135" s="269"/>
      <c r="E135" s="757"/>
      <c r="F135" s="544"/>
      <c r="G135" s="757"/>
      <c r="H135" s="269">
        <v>284.01</v>
      </c>
      <c r="I135" s="757">
        <v>398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1979</v>
      </c>
      <c r="D136" s="269"/>
      <c r="E136" s="757"/>
      <c r="F136" s="544"/>
      <c r="G136" s="757"/>
      <c r="H136" s="269">
        <v>238.76</v>
      </c>
      <c r="I136" s="757">
        <v>334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1979</v>
      </c>
      <c r="D137" s="269"/>
      <c r="E137" s="757"/>
      <c r="F137" s="544"/>
      <c r="G137" s="757"/>
      <c r="H137" s="269">
        <v>296.89999999999998</v>
      </c>
      <c r="I137" s="757">
        <v>415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1986</v>
      </c>
      <c r="D139" s="269"/>
      <c r="E139" s="757"/>
      <c r="F139" s="544"/>
      <c r="G139" s="757"/>
      <c r="H139" s="269">
        <v>68</v>
      </c>
      <c r="I139" s="757">
        <v>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1983</v>
      </c>
      <c r="D143" s="269"/>
      <c r="E143" s="757"/>
      <c r="F143" s="544"/>
      <c r="G143" s="757"/>
      <c r="H143" s="269">
        <v>35</v>
      </c>
      <c r="I143" s="757">
        <v>500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L15" sqref="L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1978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07"/>
      <c r="B4" s="1008"/>
      <c r="C4" s="1008"/>
      <c r="D4" s="1008"/>
      <c r="E4" s="1008"/>
      <c r="F4" s="1008"/>
      <c r="G4" s="100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203709</v>
      </c>
      <c r="D13" s="34"/>
      <c r="E13" s="35" t="s">
        <v>33</v>
      </c>
      <c r="F13" s="34"/>
      <c r="G13" s="42">
        <v>21330.84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8961</v>
      </c>
      <c r="D15" s="34"/>
      <c r="E15" s="35" t="s">
        <v>10</v>
      </c>
      <c r="F15" s="34"/>
      <c r="G15" s="42">
        <v>8766.9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7717</v>
      </c>
      <c r="D17" s="34"/>
      <c r="E17" s="35" t="s">
        <v>278</v>
      </c>
      <c r="F17" s="34"/>
      <c r="G17" s="42">
        <v>5804.43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1969</v>
      </c>
      <c r="D3" s="328"/>
      <c r="E3" s="763"/>
      <c r="F3" s="620">
        <v>1905.91</v>
      </c>
      <c r="G3" s="763">
        <v>2073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1971</v>
      </c>
      <c r="D4" s="269"/>
      <c r="E4" s="757"/>
      <c r="F4" s="544">
        <v>634.49</v>
      </c>
      <c r="G4" s="757">
        <v>657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1969</v>
      </c>
      <c r="D5" s="328"/>
      <c r="E5" s="763"/>
      <c r="F5" s="620">
        <v>653.92999999999995</v>
      </c>
      <c r="G5" s="763">
        <v>667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1970</v>
      </c>
      <c r="D6" s="269"/>
      <c r="E6" s="757"/>
      <c r="F6" s="544">
        <v>241.98</v>
      </c>
      <c r="G6" s="757">
        <v>211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1969</v>
      </c>
      <c r="D7" s="269"/>
      <c r="E7" s="757"/>
      <c r="F7" s="544">
        <v>210.76</v>
      </c>
      <c r="G7" s="757">
        <v>174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1974</v>
      </c>
      <c r="D8" s="269"/>
      <c r="E8" s="757"/>
      <c r="F8" s="544">
        <v>1074.51</v>
      </c>
      <c r="G8" s="757">
        <v>1173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1974</v>
      </c>
      <c r="D9" s="269"/>
      <c r="E9" s="757"/>
      <c r="F9" s="544">
        <v>604.9</v>
      </c>
      <c r="G9" s="757">
        <v>630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1974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1968</v>
      </c>
      <c r="D11" s="269"/>
      <c r="E11" s="757"/>
      <c r="F11" s="544">
        <v>107.05</v>
      </c>
      <c r="G11" s="757">
        <v>48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1971</v>
      </c>
      <c r="D12" s="269"/>
      <c r="E12" s="757"/>
      <c r="F12" s="544">
        <v>97.6</v>
      </c>
      <c r="G12" s="757">
        <v>43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1971</v>
      </c>
      <c r="D13" s="269"/>
      <c r="E13" s="757"/>
      <c r="F13" s="544">
        <v>1876.09</v>
      </c>
      <c r="G13" s="757">
        <v>2077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1972</v>
      </c>
      <c r="D14" s="269"/>
      <c r="E14" s="757"/>
      <c r="F14" s="544">
        <v>189.39</v>
      </c>
      <c r="G14" s="757">
        <v>150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1971</v>
      </c>
      <c r="D15" s="269"/>
      <c r="E15" s="757"/>
      <c r="F15" s="544">
        <v>765.63</v>
      </c>
      <c r="G15" s="757">
        <v>807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1975</v>
      </c>
      <c r="D16" s="269"/>
      <c r="E16" s="757"/>
      <c r="F16" s="544">
        <v>184.56</v>
      </c>
      <c r="G16" s="757">
        <v>141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1975</v>
      </c>
      <c r="D17" s="269"/>
      <c r="E17" s="757"/>
      <c r="F17" s="544">
        <v>155.13</v>
      </c>
      <c r="G17" s="757">
        <v>110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259.92</v>
      </c>
      <c r="E19" s="546">
        <f>3273+11</f>
        <v>3284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30.28</v>
      </c>
      <c r="E21" s="546">
        <v>316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37.479999999999997</v>
      </c>
      <c r="E23" s="546">
        <v>408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427.43</v>
      </c>
      <c r="E24" s="546">
        <v>5218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118.4</v>
      </c>
      <c r="E26" s="546">
        <v>1539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15.02</v>
      </c>
      <c r="E28" s="546">
        <v>94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156.49</v>
      </c>
      <c r="E29" s="546">
        <f>1596+6</f>
        <v>1602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670.88</v>
      </c>
      <c r="E30" s="546">
        <f>8080+35</f>
        <v>8115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23.29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305.45999999999998</v>
      </c>
      <c r="E33" s="546">
        <f>3220+14</f>
        <v>3234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18.46</v>
      </c>
      <c r="E35" s="546">
        <v>142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18.53</v>
      </c>
      <c r="E36" s="546">
        <v>143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2903.56</v>
      </c>
      <c r="E37" s="546">
        <f>47600+93</f>
        <v>47693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141.57</v>
      </c>
      <c r="E38" s="546">
        <v>1863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66.13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919.12</v>
      </c>
      <c r="E43" s="546">
        <f>10020+50</f>
        <v>10070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84.77</v>
      </c>
      <c r="E45" s="546">
        <v>1069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28.56</v>
      </c>
      <c r="E48" s="546">
        <v>283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202.55</v>
      </c>
      <c r="E49" s="546">
        <f>1796+10</f>
        <v>1806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274.33999999999997</v>
      </c>
      <c r="E51" s="546">
        <f>3528+11</f>
        <v>3539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116.25</v>
      </c>
      <c r="E52" s="546">
        <v>1449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44.06</v>
      </c>
      <c r="E53" s="546">
        <v>135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888.78</v>
      </c>
      <c r="E54" s="546">
        <f>12540+37</f>
        <v>12577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104.75</v>
      </c>
      <c r="E55" s="546">
        <v>1378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912.41</v>
      </c>
      <c r="E62" s="546">
        <v>5040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111.26</v>
      </c>
      <c r="E64" s="546">
        <v>1319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581.54</v>
      </c>
      <c r="E65" s="546">
        <f>8603+17</f>
        <v>8620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366.46</v>
      </c>
      <c r="E66" s="546">
        <f>2320+21</f>
        <v>2341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352.05</v>
      </c>
      <c r="E67" s="546">
        <f>3037+20</f>
        <v>3057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320</v>
      </c>
      <c r="E69" s="757">
        <v>2550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185</v>
      </c>
      <c r="E70" s="757">
        <v>1134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118</v>
      </c>
      <c r="E71" s="757">
        <v>521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67</v>
      </c>
      <c r="E72" s="757">
        <v>244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339</v>
      </c>
      <c r="E74" s="757">
        <v>2544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622</v>
      </c>
      <c r="E75" s="757">
        <v>5356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280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117</v>
      </c>
      <c r="E77" s="757">
        <v>517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134</v>
      </c>
      <c r="E79" s="757">
        <v>851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90</v>
      </c>
      <c r="E80" s="757">
        <v>271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2244</v>
      </c>
      <c r="E81" s="757">
        <v>19920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645</v>
      </c>
      <c r="E85" s="757">
        <v>4500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599</v>
      </c>
      <c r="E86" s="757">
        <v>4680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176</v>
      </c>
      <c r="E88" s="757">
        <v>616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76</v>
      </c>
      <c r="E89" s="757">
        <v>137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126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110</v>
      </c>
      <c r="E91" s="757">
        <v>637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1624</v>
      </c>
      <c r="E93" s="757">
        <v>13080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258</v>
      </c>
      <c r="E94" s="757">
        <v>1798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1977</v>
      </c>
      <c r="D96" s="269"/>
      <c r="E96" s="757"/>
      <c r="F96" s="544"/>
      <c r="G96" s="757"/>
      <c r="H96" s="269">
        <v>351.98</v>
      </c>
      <c r="I96" s="757">
        <v>487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1977</v>
      </c>
      <c r="D97" s="269"/>
      <c r="E97" s="757"/>
      <c r="F97" s="544"/>
      <c r="G97" s="757"/>
      <c r="H97" s="269">
        <v>204.82</v>
      </c>
      <c r="I97" s="757">
        <v>286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1977</v>
      </c>
      <c r="D98" s="269"/>
      <c r="E98" s="757"/>
      <c r="F98" s="544"/>
      <c r="G98" s="757"/>
      <c r="H98" s="269">
        <v>39.299999999999997</v>
      </c>
      <c r="I98" s="757">
        <v>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1977</v>
      </c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1977</v>
      </c>
      <c r="D100" s="269"/>
      <c r="E100" s="757"/>
      <c r="F100" s="544"/>
      <c r="G100" s="757"/>
      <c r="H100" s="269">
        <v>64.930000000000007</v>
      </c>
      <c r="I100" s="757">
        <v>68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1977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1977</v>
      </c>
      <c r="D102" s="269"/>
      <c r="E102" s="757"/>
      <c r="F102" s="544"/>
      <c r="G102" s="757"/>
      <c r="H102" s="269">
        <v>51.05</v>
      </c>
      <c r="I102" s="757">
        <v>42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1977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1977</v>
      </c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1977</v>
      </c>
      <c r="D105" s="269"/>
      <c r="E105" s="757"/>
      <c r="F105" s="544"/>
      <c r="G105" s="757"/>
      <c r="H105" s="269">
        <v>39.299999999999997</v>
      </c>
      <c r="I105" s="757">
        <v>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1977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45" t="s">
        <v>1977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1977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1977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1977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45" t="s">
        <v>1977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1977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1977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1977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45" t="s">
        <v>1977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1977</v>
      </c>
      <c r="D116" s="269"/>
      <c r="E116" s="757"/>
      <c r="F116" s="544"/>
      <c r="G116" s="757"/>
      <c r="H116" s="269">
        <v>144.97</v>
      </c>
      <c r="I116" s="757">
        <v>197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1977</v>
      </c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1977</v>
      </c>
      <c r="D118" s="269"/>
      <c r="E118" s="757"/>
      <c r="F118" s="544"/>
      <c r="G118" s="757"/>
      <c r="H118" s="269">
        <v>39.299999999999997</v>
      </c>
      <c r="I118" s="757">
        <v>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1977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1977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1977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1977</v>
      </c>
      <c r="D122" s="269"/>
      <c r="E122" s="757"/>
      <c r="F122" s="544"/>
      <c r="G122" s="757"/>
      <c r="H122" s="269">
        <v>144.97</v>
      </c>
      <c r="I122" s="757">
        <v>197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1977</v>
      </c>
      <c r="D123" s="269"/>
      <c r="E123" s="757"/>
      <c r="F123" s="544"/>
      <c r="G123" s="757"/>
      <c r="H123" s="269">
        <v>64.14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1977</v>
      </c>
      <c r="D124" s="269"/>
      <c r="E124" s="757"/>
      <c r="F124" s="544"/>
      <c r="G124" s="757"/>
      <c r="H124" s="269">
        <v>43.04</v>
      </c>
      <c r="I124" s="757">
        <v>27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1977</v>
      </c>
      <c r="D125" s="269"/>
      <c r="E125" s="757"/>
      <c r="F125" s="544"/>
      <c r="G125" s="757"/>
      <c r="H125" s="269">
        <v>39.299999999999997</v>
      </c>
      <c r="I125" s="757">
        <v>11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1977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1966</v>
      </c>
      <c r="D127" s="269"/>
      <c r="E127" s="757"/>
      <c r="F127" s="544"/>
      <c r="G127" s="757"/>
      <c r="H127" s="269">
        <v>40.369999999999997</v>
      </c>
      <c r="I127" s="757">
        <v>22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1977</v>
      </c>
      <c r="D128" s="269"/>
      <c r="E128" s="757"/>
      <c r="F128" s="544"/>
      <c r="G128" s="757"/>
      <c r="H128" s="269">
        <v>121.61</v>
      </c>
      <c r="I128" s="757">
        <v>161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1966</v>
      </c>
      <c r="D129" s="269"/>
      <c r="E129" s="757"/>
      <c r="F129" s="544"/>
      <c r="G129" s="757"/>
      <c r="H129" s="269">
        <v>91.11</v>
      </c>
      <c r="I129" s="757">
        <v>114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>
        <v>2514.63</v>
      </c>
      <c r="I131" s="757">
        <v>3314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>
        <v>39.299999999999997</v>
      </c>
      <c r="I134" s="757">
        <v>8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1966</v>
      </c>
      <c r="D135" s="269"/>
      <c r="E135" s="757"/>
      <c r="F135" s="544"/>
      <c r="G135" s="757"/>
      <c r="H135" s="269">
        <v>233.1</v>
      </c>
      <c r="I135" s="757">
        <v>326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>
        <v>216.13</v>
      </c>
      <c r="I136" s="757">
        <v>302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1966</v>
      </c>
      <c r="D137" s="269"/>
      <c r="E137" s="757"/>
      <c r="F137" s="544"/>
      <c r="G137" s="757"/>
      <c r="H137" s="269">
        <v>325.2</v>
      </c>
      <c r="I137" s="757">
        <v>452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1976</v>
      </c>
      <c r="D139" s="269"/>
      <c r="E139" s="757"/>
      <c r="F139" s="544"/>
      <c r="G139" s="757"/>
      <c r="H139" s="269">
        <v>84</v>
      </c>
      <c r="I139" s="757">
        <v>1200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1973</v>
      </c>
      <c r="D143" s="269"/>
      <c r="E143" s="757"/>
      <c r="F143" s="544"/>
      <c r="G143" s="757"/>
      <c r="H143" s="269">
        <v>35</v>
      </c>
      <c r="I143" s="757">
        <v>400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3" sqref="D2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1967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04"/>
      <c r="B4" s="1005"/>
      <c r="C4" s="1005"/>
      <c r="D4" s="1005"/>
      <c r="E4" s="1005"/>
      <c r="F4" s="1005"/>
      <c r="G4" s="100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198504</v>
      </c>
      <c r="D13" s="34"/>
      <c r="E13" s="35" t="s">
        <v>33</v>
      </c>
      <c r="F13" s="34"/>
      <c r="G13" s="42">
        <v>20515.3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5657</v>
      </c>
      <c r="D15" s="34"/>
      <c r="E15" s="35" t="s">
        <v>10</v>
      </c>
      <c r="F15" s="34"/>
      <c r="G15" s="42">
        <v>6814.36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296127</v>
      </c>
      <c r="D17" s="34"/>
      <c r="E17" s="35" t="s">
        <v>278</v>
      </c>
      <c r="F17" s="34"/>
      <c r="G17" s="42">
        <v>6632.39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11" sqref="C1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8.140625" style="757" customWidth="1"/>
    <col min="8" max="8" width="10.5703125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1951</v>
      </c>
      <c r="D3" s="328"/>
      <c r="E3" s="763"/>
      <c r="F3" s="620">
        <v>1734.11</v>
      </c>
      <c r="G3" s="763">
        <v>1636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1952</v>
      </c>
      <c r="D4" s="269"/>
      <c r="E4" s="757"/>
      <c r="F4" s="544">
        <v>415.94</v>
      </c>
      <c r="G4" s="757">
        <v>339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1951</v>
      </c>
      <c r="D5" s="328"/>
      <c r="E5" s="763"/>
      <c r="F5" s="620">
        <v>406.91</v>
      </c>
      <c r="G5" s="763">
        <v>339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1954</v>
      </c>
      <c r="D6" s="269"/>
      <c r="E6" s="757"/>
      <c r="F6" s="544">
        <v>277.48</v>
      </c>
      <c r="G6" s="757">
        <v>201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1951</v>
      </c>
      <c r="D7" s="269"/>
      <c r="E7" s="757"/>
      <c r="F7" s="544">
        <v>158.09</v>
      </c>
      <c r="G7" s="757">
        <v>95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1953</v>
      </c>
      <c r="D8" s="269"/>
      <c r="E8" s="757"/>
      <c r="F8" s="544">
        <v>641.4</v>
      </c>
      <c r="G8" s="757">
        <v>541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1953</v>
      </c>
      <c r="D9" s="269"/>
      <c r="E9" s="757"/>
      <c r="F9" s="544">
        <v>331.91</v>
      </c>
      <c r="G9" s="757">
        <v>253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1953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1950</v>
      </c>
      <c r="D11" s="269"/>
      <c r="E11" s="757"/>
      <c r="F11" s="544">
        <v>109.45</v>
      </c>
      <c r="G11" s="757">
        <v>44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1952</v>
      </c>
      <c r="D12" s="269"/>
      <c r="E12" s="757"/>
      <c r="F12" s="544">
        <v>79.97</v>
      </c>
      <c r="G12" s="757">
        <v>19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1952</v>
      </c>
      <c r="D13" s="269"/>
      <c r="E13" s="757"/>
      <c r="F13" s="544">
        <v>1629.65</v>
      </c>
      <c r="G13" s="757">
        <v>1495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1954</v>
      </c>
      <c r="D14" s="269"/>
      <c r="E14" s="757"/>
      <c r="F14" s="544">
        <v>122.77</v>
      </c>
      <c r="G14" s="757">
        <v>58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1952</v>
      </c>
      <c r="D15" s="269"/>
      <c r="E15" s="757"/>
      <c r="F15" s="544">
        <v>580.77</v>
      </c>
      <c r="G15" s="757">
        <v>496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1961</v>
      </c>
      <c r="D16" s="269"/>
      <c r="E16" s="757"/>
      <c r="F16" s="544">
        <v>147.03</v>
      </c>
      <c r="G16" s="757">
        <v>86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1961</v>
      </c>
      <c r="D17" s="269"/>
      <c r="E17" s="757"/>
      <c r="F17" s="544">
        <v>113.91</v>
      </c>
      <c r="G17" s="757">
        <v>55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134.16999999999999</v>
      </c>
      <c r="E19" s="546">
        <v>1325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31.82</v>
      </c>
      <c r="E21" s="546">
        <v>338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40.78</v>
      </c>
      <c r="E23" s="546">
        <v>454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401.61</v>
      </c>
      <c r="E24" s="546">
        <f>4480+18</f>
        <v>4498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96.45</v>
      </c>
      <c r="E26" s="546">
        <v>1232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16.66</v>
      </c>
      <c r="E28" s="546">
        <v>117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161.02000000000001</v>
      </c>
      <c r="E29" s="546">
        <f>1451+7</f>
        <v>1458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518.20000000000005</v>
      </c>
      <c r="E30" s="546">
        <f>5720+28</f>
        <v>5748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260.95</v>
      </c>
      <c r="E33" s="546">
        <f>2794+11</f>
        <v>2805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17.82</v>
      </c>
      <c r="E35" s="546">
        <v>133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19.09</v>
      </c>
      <c r="E36" s="546">
        <v>151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3253.92</v>
      </c>
      <c r="E37" s="546">
        <f>56110+103</f>
        <v>56213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131.93</v>
      </c>
      <c r="E38" s="546">
        <v>1728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432.58</v>
      </c>
      <c r="E39" s="546"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906.23</v>
      </c>
      <c r="E43" s="546">
        <f>9660+50</f>
        <v>9710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81.62</v>
      </c>
      <c r="E45" s="546">
        <v>1025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28.76</v>
      </c>
      <c r="E48" s="546">
        <v>286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212.92</v>
      </c>
      <c r="E49" s="546">
        <f>1542+12</f>
        <v>1554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280.64</v>
      </c>
      <c r="E51" s="546">
        <f>3704+11</f>
        <v>3715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119.42</v>
      </c>
      <c r="E52" s="546">
        <v>1490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812.11</v>
      </c>
      <c r="E54" s="546">
        <f>10740+34</f>
        <v>10774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58.75</v>
      </c>
      <c r="E55" s="546">
        <v>722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330.54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127.43</v>
      </c>
      <c r="E64" s="546">
        <f>1447+3</f>
        <v>1450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546.84</v>
      </c>
      <c r="E65" s="546">
        <f>7635+17</f>
        <v>7652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431.71</v>
      </c>
      <c r="E66" s="546">
        <f>6640+13</f>
        <v>6653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285.29000000000002</v>
      </c>
      <c r="E67" s="546">
        <f>2843+14</f>
        <v>2857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1958</v>
      </c>
      <c r="D69" s="269">
        <v>273</v>
      </c>
      <c r="E69" s="757">
        <v>2120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167</v>
      </c>
      <c r="E70" s="757">
        <v>969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86</v>
      </c>
      <c r="E71" s="757">
        <v>237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63</v>
      </c>
      <c r="E72" s="757">
        <v>204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87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344</v>
      </c>
      <c r="E74" s="757">
        <v>2586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363</v>
      </c>
      <c r="E75" s="757">
        <v>2991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272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106</v>
      </c>
      <c r="E77" s="757">
        <v>419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83</v>
      </c>
      <c r="E79" s="757">
        <v>385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86</v>
      </c>
      <c r="E80" s="757">
        <v>234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1706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1958</v>
      </c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5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480</v>
      </c>
      <c r="E85" s="757">
        <v>3506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493</v>
      </c>
      <c r="E86" s="757">
        <v>3767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1957</v>
      </c>
      <c r="D88" s="269">
        <v>178</v>
      </c>
      <c r="E88" s="757">
        <v>634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1959</v>
      </c>
      <c r="D89" s="269">
        <v>75</v>
      </c>
      <c r="E89" s="757">
        <v>135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115</v>
      </c>
      <c r="E90" s="757">
        <v>293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108</v>
      </c>
      <c r="E91" s="757">
        <v>617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121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1788</v>
      </c>
      <c r="E93" s="757">
        <v>15600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250</v>
      </c>
      <c r="E94" s="757">
        <v>1730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246.54</v>
      </c>
      <c r="I96" s="757">
        <v>345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1963</v>
      </c>
      <c r="D97" s="269"/>
      <c r="E97" s="757"/>
      <c r="F97" s="544"/>
      <c r="G97" s="757"/>
      <c r="H97" s="269">
        <v>178.07</v>
      </c>
      <c r="I97" s="757">
        <v>248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13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58.52</v>
      </c>
      <c r="I100" s="757">
        <v>56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62.8</v>
      </c>
      <c r="I102" s="757">
        <v>64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71.87</v>
      </c>
      <c r="I116" s="757">
        <v>81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11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82.67</v>
      </c>
      <c r="I122" s="757">
        <v>101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2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43.04</v>
      </c>
      <c r="I124" s="757">
        <v>27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15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1949</v>
      </c>
      <c r="D127" s="269"/>
      <c r="E127" s="757"/>
      <c r="F127" s="544"/>
      <c r="G127" s="757"/>
      <c r="H127" s="269">
        <v>51.58</v>
      </c>
      <c r="I127" s="757">
        <v>43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1964</v>
      </c>
      <c r="D128" s="269"/>
      <c r="E128" s="757"/>
      <c r="F128" s="544"/>
      <c r="G128" s="757"/>
      <c r="H128" s="269">
        <v>163.15</v>
      </c>
      <c r="I128" s="757">
        <v>225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1949</v>
      </c>
      <c r="D129" s="269"/>
      <c r="E129" s="757"/>
      <c r="F129" s="544"/>
      <c r="G129" s="757"/>
      <c r="H129" s="269">
        <v>283.3</v>
      </c>
      <c r="I129" s="757">
        <v>397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1949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1949</v>
      </c>
      <c r="D131" s="269"/>
      <c r="E131" s="757"/>
      <c r="F131" s="544"/>
      <c r="G131" s="757"/>
      <c r="H131" s="269">
        <v>2945.33</v>
      </c>
      <c r="I131" s="757">
        <v>3877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1949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1949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1949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1949</v>
      </c>
      <c r="D135" s="269"/>
      <c r="E135" s="757"/>
      <c r="F135" s="544"/>
      <c r="G135" s="757"/>
      <c r="H135" s="269">
        <v>356.57</v>
      </c>
      <c r="I135" s="757">
        <v>493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1949</v>
      </c>
      <c r="D136" s="269"/>
      <c r="E136" s="757"/>
      <c r="F136" s="544"/>
      <c r="G136" s="757"/>
      <c r="H136" s="269">
        <v>292.31</v>
      </c>
      <c r="I136" s="757">
        <v>409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1949</v>
      </c>
      <c r="D137" s="269"/>
      <c r="E137" s="757"/>
      <c r="F137" s="544"/>
      <c r="G137" s="757"/>
      <c r="H137" s="269">
        <v>338.21</v>
      </c>
      <c r="I137" s="757"/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1962</v>
      </c>
      <c r="D139" s="269"/>
      <c r="E139" s="757"/>
      <c r="F139" s="544"/>
      <c r="G139" s="757"/>
      <c r="H139" s="269">
        <v>132</v>
      </c>
      <c r="I139" s="757">
        <v>3600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1956</v>
      </c>
      <c r="D143" s="269"/>
      <c r="E143" s="757"/>
      <c r="F143" s="544"/>
      <c r="G143" s="757"/>
      <c r="H143" s="269">
        <v>35</v>
      </c>
      <c r="I143" s="757">
        <v>300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1965</v>
      </c>
      <c r="D145" s="269"/>
      <c r="E145" s="757"/>
      <c r="F145" s="544"/>
      <c r="G145" s="757"/>
      <c r="H145" s="269">
        <v>162.44999999999999</v>
      </c>
      <c r="I145" s="757">
        <v>285750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portrait" horizontalDpi="4294967295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5" sqref="J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1955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01"/>
      <c r="B4" s="1002"/>
      <c r="C4" s="1002"/>
      <c r="D4" s="1002"/>
      <c r="E4" s="1002"/>
      <c r="F4" s="1002"/>
      <c r="G4" s="100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180908</v>
      </c>
      <c r="D13" s="34"/>
      <c r="E13" s="35" t="s">
        <v>33</v>
      </c>
      <c r="F13" s="34"/>
      <c r="G13" s="42">
        <v>19029.73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3535</v>
      </c>
      <c r="D15" s="34"/>
      <c r="E15" s="35" t="s">
        <v>10</v>
      </c>
      <c r="F15" s="34"/>
      <c r="G15" s="42">
        <v>4285.25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150932</v>
      </c>
      <c r="D17" s="34"/>
      <c r="E17" s="35" t="s">
        <v>278</v>
      </c>
      <c r="F17" s="34"/>
      <c r="G17" s="42">
        <v>6562.91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5" zoomScaleNormal="115" workbookViewId="0">
      <pane ySplit="1" topLeftCell="A110" activePane="bottomLeft" state="frozen"/>
      <selection pane="bottomLeft" activeCell="C127" sqref="C1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1938</v>
      </c>
      <c r="D3" s="328"/>
      <c r="E3" s="763"/>
      <c r="F3" s="620">
        <v>1180.3</v>
      </c>
      <c r="G3" s="763">
        <v>1137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1939</v>
      </c>
      <c r="D4" s="269"/>
      <c r="E4" s="757"/>
      <c r="F4" s="544">
        <v>171.67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1938</v>
      </c>
      <c r="D5" s="328"/>
      <c r="E5" s="763"/>
      <c r="F5" s="620">
        <v>110.22</v>
      </c>
      <c r="G5" s="763">
        <v>53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1941</v>
      </c>
      <c r="D6" s="269"/>
      <c r="E6" s="757"/>
      <c r="F6" s="544">
        <v>283.48</v>
      </c>
      <c r="G6" s="757">
        <v>230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1937</v>
      </c>
      <c r="D7" s="269"/>
      <c r="E7" s="757"/>
      <c r="F7" s="544">
        <v>126.25</v>
      </c>
      <c r="G7" s="757">
        <v>65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1942</v>
      </c>
      <c r="D8" s="269"/>
      <c r="E8" s="757"/>
      <c r="F8" s="544">
        <v>593.04999999999995</v>
      </c>
      <c r="G8" s="757">
        <v>546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1942</v>
      </c>
      <c r="D9" s="269"/>
      <c r="E9" s="757"/>
      <c r="F9" s="544">
        <v>249.02</v>
      </c>
      <c r="G9" s="757">
        <v>195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1942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1937</v>
      </c>
      <c r="D11" s="269"/>
      <c r="E11" s="757"/>
      <c r="F11" s="544">
        <v>94.67</v>
      </c>
      <c r="G11" s="757">
        <v>30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1939</v>
      </c>
      <c r="D12" s="269"/>
      <c r="E12" s="757"/>
      <c r="F12" s="544">
        <v>58.87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1939</v>
      </c>
      <c r="D13" s="269"/>
      <c r="E13" s="757"/>
      <c r="F13" s="544">
        <v>720.59</v>
      </c>
      <c r="G13" s="757">
        <v>722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1941</v>
      </c>
      <c r="D14" s="269"/>
      <c r="E14" s="757"/>
      <c r="F14" s="544">
        <v>117.71</v>
      </c>
      <c r="G14" s="757">
        <v>61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1939</v>
      </c>
      <c r="D15" s="269"/>
      <c r="E15" s="757"/>
      <c r="F15" s="544">
        <v>335.16</v>
      </c>
      <c r="G15" s="757">
        <v>283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1946</v>
      </c>
      <c r="D16" s="269"/>
      <c r="E16" s="757"/>
      <c r="F16" s="544">
        <v>93.34</v>
      </c>
      <c r="G16" s="757">
        <v>56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1946</v>
      </c>
      <c r="D17" s="269"/>
      <c r="E17" s="757"/>
      <c r="F17" s="544">
        <v>88.24</v>
      </c>
      <c r="G17" s="757">
        <v>29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142.19</v>
      </c>
      <c r="E19" s="546">
        <f>1290+6</f>
        <v>1296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23.4</v>
      </c>
      <c r="E21" s="546">
        <v>219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18.16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41.87</v>
      </c>
      <c r="E23" s="546">
        <v>472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408.83</v>
      </c>
      <c r="E24" s="546">
        <f>4760+18</f>
        <v>4778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83.77</v>
      </c>
      <c r="E26" s="546">
        <v>1061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18.53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16.61</v>
      </c>
      <c r="E28" s="546">
        <v>117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202.85</v>
      </c>
      <c r="E29" s="546">
        <f>1555+11</f>
        <v>1566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657.35</v>
      </c>
      <c r="E30" s="546">
        <f>9120+30</f>
        <v>9150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18.53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23.17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326.23</v>
      </c>
      <c r="E33" s="546">
        <f>3224+16</f>
        <v>3240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11.35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19.97</v>
      </c>
      <c r="E35" s="546">
        <v>164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18.47</v>
      </c>
      <c r="E36" s="546">
        <v>143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3356.59</v>
      </c>
      <c r="E37" s="546">
        <f>56700+123</f>
        <v>56823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19.68</v>
      </c>
      <c r="E38" s="546">
        <v>160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370.2</v>
      </c>
      <c r="E39" s="546">
        <f>300+33</f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20.99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18.53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944.76</v>
      </c>
      <c r="E43" s="546">
        <f>10620+50</f>
        <v>10670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11.35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10.220000000000001</v>
      </c>
      <c r="E45" s="546">
        <v>27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22.6</v>
      </c>
      <c r="E48" s="546">
        <v>201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214.77</v>
      </c>
      <c r="E49" s="546">
        <f>1618+12</f>
        <v>1630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265.55</v>
      </c>
      <c r="E51" s="546">
        <f>3035+12</f>
        <v>3047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115.05</v>
      </c>
      <c r="E52" s="546">
        <v>1442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29.31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800.28</v>
      </c>
      <c r="E54" s="546">
        <f>10500+34</f>
        <v>10534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42.92</v>
      </c>
      <c r="E55" s="546">
        <v>499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97.75</v>
      </c>
      <c r="E56" s="546">
        <f>238+5</f>
        <v>243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1244.05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470.66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329.62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180.57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923.5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110.49</v>
      </c>
      <c r="E64" s="546">
        <f>1132+3</f>
        <v>1135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570.23</v>
      </c>
      <c r="E65" s="546">
        <f>8476+16</f>
        <v>8492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74.48</v>
      </c>
      <c r="E66" s="546">
        <v>82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269.73</v>
      </c>
      <c r="E67" s="546">
        <f>2434+14</f>
        <v>2448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1943</v>
      </c>
      <c r="D69" s="269">
        <v>229</v>
      </c>
      <c r="E69" s="757">
        <v>1715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124</v>
      </c>
      <c r="E70" s="757">
        <v>577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70</v>
      </c>
      <c r="E71" s="757">
        <v>84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65</v>
      </c>
      <c r="E72" s="757">
        <v>221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322</v>
      </c>
      <c r="E74" s="757">
        <v>2389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172</v>
      </c>
      <c r="E75" s="757">
        <v>1256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66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100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84</v>
      </c>
      <c r="E79" s="757">
        <v>395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200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1495</v>
      </c>
      <c r="E81" s="757">
        <v>11640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34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283</v>
      </c>
      <c r="E85" s="757">
        <v>1071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270</v>
      </c>
      <c r="E86" s="757">
        <v>1783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170</v>
      </c>
      <c r="E88" s="757">
        <v>560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1943</v>
      </c>
      <c r="D89" s="269">
        <v>78</v>
      </c>
      <c r="E89" s="757">
        <v>164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100</v>
      </c>
      <c r="E90" s="757">
        <v>343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141</v>
      </c>
      <c r="E91" s="757">
        <v>916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1607</v>
      </c>
      <c r="E92" s="757">
        <v>12960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259</v>
      </c>
      <c r="E93" s="757">
        <v>1811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 t="s">
        <v>1947</v>
      </c>
      <c r="D95" s="269"/>
      <c r="E95" s="757"/>
      <c r="F95" s="544"/>
      <c r="G95" s="757"/>
      <c r="H95" s="269">
        <v>156.01</v>
      </c>
      <c r="I95" s="757">
        <v>214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 t="s">
        <v>1947</v>
      </c>
      <c r="D96" s="269"/>
      <c r="E96" s="757"/>
      <c r="F96" s="544"/>
      <c r="G96" s="757"/>
      <c r="H96" s="269">
        <v>241.59</v>
      </c>
      <c r="I96" s="757">
        <v>338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13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61.19</v>
      </c>
      <c r="I98" s="757">
        <v>61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62.26</v>
      </c>
      <c r="I99" s="757">
        <v>63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/>
      <c r="D100" s="269"/>
      <c r="E100" s="757"/>
      <c r="F100" s="544"/>
      <c r="G100" s="757"/>
      <c r="H100" s="269">
        <v>46.24</v>
      </c>
      <c r="I100" s="757">
        <v>33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/>
      <c r="D101" s="269"/>
      <c r="E101" s="757"/>
      <c r="F101" s="544"/>
      <c r="G101" s="757"/>
      <c r="H101" s="269">
        <v>56.92</v>
      </c>
      <c r="I101" s="757">
        <v>53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10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2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1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98.89</v>
      </c>
      <c r="I115" s="757">
        <v>126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1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10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 t="s">
        <v>1947</v>
      </c>
      <c r="D122" s="269"/>
      <c r="E122" s="757"/>
      <c r="F122" s="544"/>
      <c r="G122" s="757"/>
      <c r="H122" s="269">
        <v>56.13</v>
      </c>
      <c r="I122" s="757">
        <v>6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 t="s">
        <v>1947</v>
      </c>
      <c r="D123" s="269"/>
      <c r="E123" s="757"/>
      <c r="F123" s="544"/>
      <c r="G123" s="757"/>
      <c r="H123" s="269">
        <v>44.64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12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 t="s">
        <v>1936</v>
      </c>
      <c r="D126" s="269"/>
      <c r="E126" s="757"/>
      <c r="F126" s="544"/>
      <c r="G126" s="757"/>
      <c r="H126" s="269">
        <v>48.91</v>
      </c>
      <c r="I126" s="757">
        <v>38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 t="s">
        <v>1948</v>
      </c>
      <c r="D127" s="269"/>
      <c r="E127" s="757"/>
      <c r="F127" s="544"/>
      <c r="G127" s="757"/>
      <c r="H127" s="269">
        <v>146.91999999999999</v>
      </c>
      <c r="I127" s="757">
        <v>200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/>
      <c r="D128" s="269"/>
      <c r="E128" s="757"/>
      <c r="F128" s="544"/>
      <c r="G128" s="757"/>
      <c r="H128" s="269">
        <v>289.25</v>
      </c>
      <c r="I128" s="757">
        <v>405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39.299999999999997</v>
      </c>
      <c r="I129" s="757">
        <v>2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2598.02</v>
      </c>
      <c r="I130" s="757">
        <v>3423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10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/>
      <c r="D134" s="269"/>
      <c r="E134" s="757"/>
      <c r="F134" s="544"/>
      <c r="G134" s="757"/>
      <c r="H134" s="269">
        <v>434.6</v>
      </c>
      <c r="I134" s="757">
        <v>595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612.84</v>
      </c>
      <c r="I135" s="757">
        <v>828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/>
      <c r="D136" s="269"/>
      <c r="E136" s="757"/>
      <c r="F136" s="544"/>
      <c r="G136" s="757"/>
      <c r="H136" s="269">
        <v>465.2</v>
      </c>
      <c r="I136" s="757">
        <v>635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1945</v>
      </c>
      <c r="D142" s="269"/>
      <c r="E142" s="757"/>
      <c r="F142" s="544"/>
      <c r="G142" s="757"/>
      <c r="H142" s="269">
        <v>35</v>
      </c>
      <c r="I142" s="757">
        <v>1300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 t="s">
        <v>1944</v>
      </c>
      <c r="D144" s="269"/>
      <c r="E144" s="757"/>
      <c r="F144" s="544"/>
      <c r="G144" s="757"/>
      <c r="H144" s="269">
        <v>86.5</v>
      </c>
      <c r="I144" s="757">
        <v>142520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6" sqref="D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1940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98"/>
      <c r="B4" s="999"/>
      <c r="C4" s="999"/>
      <c r="D4" s="999"/>
      <c r="E4" s="999"/>
      <c r="F4" s="999"/>
      <c r="G4" s="100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201035</v>
      </c>
      <c r="D13" s="34"/>
      <c r="E13" s="35" t="s">
        <v>33</v>
      </c>
      <c r="F13" s="34"/>
      <c r="G13" s="42">
        <v>20947.599999999999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1246</v>
      </c>
      <c r="D15" s="34"/>
      <c r="E15" s="35" t="s">
        <v>10</v>
      </c>
      <c r="F15" s="34"/>
      <c r="G15" s="42">
        <v>2047.92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13221</v>
      </c>
      <c r="D17" s="34"/>
      <c r="E17" s="35" t="s">
        <v>278</v>
      </c>
      <c r="F17" s="34"/>
      <c r="G17" s="42">
        <v>7243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22" activePane="bottomLeft" state="frozen"/>
      <selection pane="bottomLeft" activeCell="H96" sqref="H96:H13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883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880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881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2220</v>
      </c>
      <c r="D3" s="882"/>
      <c r="E3" s="763"/>
      <c r="F3" s="620">
        <v>738.38</v>
      </c>
      <c r="G3" s="763">
        <v>823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2216</v>
      </c>
      <c r="D4" s="883"/>
      <c r="E4" s="757"/>
      <c r="F4" s="544">
        <v>80.22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2215</v>
      </c>
      <c r="D5" s="882"/>
      <c r="E5" s="763"/>
      <c r="F5" s="620">
        <v>77.790000000000006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2223</v>
      </c>
      <c r="D6" s="883"/>
      <c r="E6" s="757"/>
      <c r="F6" s="544">
        <v>82.67</v>
      </c>
      <c r="G6" s="757">
        <v>18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2219</v>
      </c>
      <c r="D7" s="883"/>
      <c r="E7" s="757"/>
      <c r="F7" s="544">
        <v>103.56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2216</v>
      </c>
      <c r="D8" s="883"/>
      <c r="E8" s="757"/>
      <c r="F8" s="544">
        <v>86.74</v>
      </c>
      <c r="G8" s="757">
        <v>23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2221</v>
      </c>
      <c r="D9" s="883"/>
      <c r="E9" s="757"/>
      <c r="F9" s="544">
        <v>98.15</v>
      </c>
      <c r="G9" s="757">
        <v>37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2216</v>
      </c>
      <c r="D10" s="883"/>
      <c r="E10" s="757"/>
      <c r="F10" s="544">
        <v>73.62</v>
      </c>
      <c r="G10" s="757">
        <v>0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2219</v>
      </c>
      <c r="D11" s="883"/>
      <c r="E11" s="757"/>
      <c r="F11" s="544">
        <v>105.72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2216</v>
      </c>
      <c r="D12" s="883"/>
      <c r="E12" s="757"/>
      <c r="F12" s="544">
        <v>68.010000000000005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2216</v>
      </c>
      <c r="D13" s="883"/>
      <c r="E13" s="757"/>
      <c r="F13" s="544">
        <v>75.34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2223</v>
      </c>
      <c r="D14" s="883"/>
      <c r="E14" s="757"/>
      <c r="F14" s="544">
        <v>74.53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2216</v>
      </c>
      <c r="D15" s="883"/>
      <c r="E15" s="757"/>
      <c r="F15" s="544">
        <v>159.24</v>
      </c>
      <c r="G15" s="757">
        <v>112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2225</v>
      </c>
      <c r="D16" s="883"/>
      <c r="E16" s="757"/>
      <c r="F16" s="544">
        <v>43.97</v>
      </c>
      <c r="G16" s="757">
        <v>14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2225</v>
      </c>
      <c r="D17" s="883"/>
      <c r="E17" s="757"/>
      <c r="F17" s="544">
        <v>77.12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84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2227</v>
      </c>
      <c r="D19" s="885">
        <v>229.93</v>
      </c>
      <c r="E19" s="547">
        <v>2296</v>
      </c>
      <c r="F19" s="548"/>
      <c r="G19" s="547"/>
      <c r="H19" s="618"/>
      <c r="I19" s="547"/>
      <c r="J19" s="245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2228</v>
      </c>
      <c r="D20" s="885">
        <v>6.88</v>
      </c>
      <c r="E20" s="547">
        <v>0</v>
      </c>
      <c r="F20" s="548"/>
      <c r="G20" s="547"/>
      <c r="H20" s="618"/>
      <c r="I20" s="547"/>
      <c r="J20" s="245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2227</v>
      </c>
      <c r="D21" s="885">
        <v>75.58</v>
      </c>
      <c r="E21" s="547">
        <v>931</v>
      </c>
      <c r="F21" s="548"/>
      <c r="G21" s="547"/>
      <c r="H21" s="618"/>
      <c r="I21" s="547"/>
      <c r="J21" s="245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2227</v>
      </c>
      <c r="D22" s="885">
        <v>17.32</v>
      </c>
      <c r="E22" s="547">
        <v>150</v>
      </c>
      <c r="F22" s="548"/>
      <c r="G22" s="547"/>
      <c r="H22" s="618"/>
      <c r="I22" s="547"/>
      <c r="J22" s="245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2227</v>
      </c>
      <c r="D23" s="885">
        <v>79.69</v>
      </c>
      <c r="E23" s="547">
        <v>965</v>
      </c>
      <c r="F23" s="548"/>
      <c r="G23" s="547"/>
      <c r="H23" s="618"/>
      <c r="I23" s="547"/>
      <c r="J23" s="245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2229</v>
      </c>
      <c r="D24" s="885">
        <v>948.36</v>
      </c>
      <c r="E24" s="547">
        <v>10486</v>
      </c>
      <c r="F24" s="548"/>
      <c r="G24" s="547"/>
      <c r="H24" s="618"/>
      <c r="I24" s="547"/>
      <c r="J24" s="245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2229</v>
      </c>
      <c r="D25" s="885">
        <v>13.63</v>
      </c>
      <c r="E25" s="547">
        <v>80</v>
      </c>
      <c r="F25" s="548"/>
      <c r="G25" s="547"/>
      <c r="H25" s="618"/>
      <c r="I25" s="547"/>
      <c r="J25" s="245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2230</v>
      </c>
      <c r="D26" s="885">
        <v>171.36</v>
      </c>
      <c r="E26" s="547">
        <v>1135</v>
      </c>
      <c r="F26" s="548"/>
      <c r="G26" s="547"/>
      <c r="H26" s="618"/>
      <c r="I26" s="547"/>
      <c r="J26" s="245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2230</v>
      </c>
      <c r="D27" s="885">
        <v>17.670000000000002</v>
      </c>
      <c r="E27" s="547">
        <v>150</v>
      </c>
      <c r="F27" s="548"/>
      <c r="G27" s="547"/>
      <c r="H27" s="618"/>
      <c r="I27" s="547"/>
      <c r="J27" s="245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2230</v>
      </c>
      <c r="D28" s="885">
        <v>19.399999999999999</v>
      </c>
      <c r="E28" s="547">
        <v>162</v>
      </c>
      <c r="F28" s="548"/>
      <c r="G28" s="547"/>
      <c r="H28" s="618"/>
      <c r="I28" s="547"/>
      <c r="J28" s="245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2231</v>
      </c>
      <c r="D29" s="885">
        <v>279.91000000000003</v>
      </c>
      <c r="E29" s="547">
        <v>2896</v>
      </c>
      <c r="F29" s="548"/>
      <c r="G29" s="547"/>
      <c r="H29" s="618"/>
      <c r="I29" s="547"/>
      <c r="J29" s="245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2227</v>
      </c>
      <c r="D30" s="885">
        <v>646.47</v>
      </c>
      <c r="E30" s="547">
        <v>8388</v>
      </c>
      <c r="F30" s="548"/>
      <c r="G30" s="547"/>
      <c r="H30" s="618"/>
      <c r="I30" s="547"/>
      <c r="J30" s="245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2227</v>
      </c>
      <c r="D31" s="885">
        <v>17.670000000000002</v>
      </c>
      <c r="E31" s="547">
        <v>150</v>
      </c>
      <c r="F31" s="548"/>
      <c r="G31" s="547"/>
      <c r="H31" s="618"/>
      <c r="I31" s="547"/>
      <c r="J31" s="245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2231</v>
      </c>
      <c r="D32" s="885">
        <v>22.21</v>
      </c>
      <c r="E32" s="547">
        <v>160</v>
      </c>
      <c r="F32" s="548"/>
      <c r="G32" s="547"/>
      <c r="H32" s="618"/>
      <c r="I32" s="547"/>
      <c r="J32" s="245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2229</v>
      </c>
      <c r="D33" s="885">
        <v>518.6</v>
      </c>
      <c r="E33" s="547">
        <v>5379</v>
      </c>
      <c r="F33" s="548"/>
      <c r="G33" s="547"/>
      <c r="H33" s="618"/>
      <c r="I33" s="547"/>
      <c r="J33" s="245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2229</v>
      </c>
      <c r="D34" s="885">
        <v>10.91</v>
      </c>
      <c r="E34" s="547">
        <v>70</v>
      </c>
      <c r="F34" s="548"/>
      <c r="G34" s="547"/>
      <c r="H34" s="618"/>
      <c r="I34" s="547"/>
      <c r="J34" s="245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2232</v>
      </c>
      <c r="D35" s="885">
        <v>189.08</v>
      </c>
      <c r="E35" s="547">
        <v>776</v>
      </c>
      <c r="F35" s="548"/>
      <c r="G35" s="547"/>
      <c r="H35" s="618"/>
      <c r="I35" s="547"/>
      <c r="J35" s="245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2232</v>
      </c>
      <c r="D36" s="885">
        <v>18.64</v>
      </c>
      <c r="E36" s="547">
        <v>152</v>
      </c>
      <c r="F36" s="548"/>
      <c r="G36" s="547"/>
      <c r="H36" s="618"/>
      <c r="I36" s="547"/>
      <c r="J36" s="245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2232</v>
      </c>
      <c r="D37" s="885">
        <v>5179.29</v>
      </c>
      <c r="E37" s="547">
        <v>88067</v>
      </c>
      <c r="F37" s="548"/>
      <c r="G37" s="547"/>
      <c r="H37" s="618"/>
      <c r="I37" s="547"/>
      <c r="J37" s="245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2232</v>
      </c>
      <c r="D38" s="885">
        <v>16.41</v>
      </c>
      <c r="E38" s="547">
        <v>123</v>
      </c>
      <c r="F38" s="548"/>
      <c r="G38" s="547"/>
      <c r="H38" s="618"/>
      <c r="I38" s="547"/>
      <c r="J38" s="245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2232</v>
      </c>
      <c r="D39" s="885">
        <v>54.71</v>
      </c>
      <c r="E39" s="547">
        <v>300</v>
      </c>
      <c r="F39" s="548"/>
      <c r="G39" s="547"/>
      <c r="H39" s="618"/>
      <c r="I39" s="547"/>
      <c r="J39" s="245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2229</v>
      </c>
      <c r="D40" s="885">
        <v>20.170000000000002</v>
      </c>
      <c r="E40" s="547">
        <v>140</v>
      </c>
      <c r="F40" s="548"/>
      <c r="G40" s="547"/>
      <c r="H40" s="618"/>
      <c r="I40" s="547"/>
      <c r="J40" s="245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2229</v>
      </c>
      <c r="D41" s="885">
        <v>14.8</v>
      </c>
      <c r="E41" s="547">
        <v>45</v>
      </c>
      <c r="F41" s="548"/>
      <c r="G41" s="547"/>
      <c r="H41" s="618"/>
      <c r="I41" s="547"/>
      <c r="J41" s="245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2229</v>
      </c>
      <c r="D42" s="885">
        <v>17.73</v>
      </c>
      <c r="E42" s="547">
        <v>80</v>
      </c>
      <c r="F42" s="548"/>
      <c r="G42" s="547"/>
      <c r="H42" s="618"/>
      <c r="I42" s="547"/>
      <c r="J42" s="245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2229</v>
      </c>
      <c r="D43" s="885">
        <v>1400.53</v>
      </c>
      <c r="E43" s="547">
        <v>17468</v>
      </c>
      <c r="F43" s="548"/>
      <c r="G43" s="547"/>
      <c r="H43" s="618"/>
      <c r="I43" s="547"/>
      <c r="J43" s="245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2229</v>
      </c>
      <c r="D44" s="885">
        <v>10.91</v>
      </c>
      <c r="E44" s="547">
        <v>70</v>
      </c>
      <c r="F44" s="548"/>
      <c r="G44" s="547"/>
      <c r="H44" s="618"/>
      <c r="I44" s="547"/>
      <c r="J44" s="245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2233</v>
      </c>
      <c r="D45" s="885">
        <v>8.6999999999999993</v>
      </c>
      <c r="E45" s="547">
        <v>22</v>
      </c>
      <c r="F45" s="548"/>
      <c r="G45" s="547"/>
      <c r="H45" s="618"/>
      <c r="I45" s="547"/>
      <c r="J45" s="245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2233</v>
      </c>
      <c r="D46" s="885">
        <v>107.39</v>
      </c>
      <c r="E46" s="547">
        <v>770</v>
      </c>
      <c r="F46" s="548"/>
      <c r="G46" s="547"/>
      <c r="H46" s="618"/>
      <c r="I46" s="547"/>
      <c r="J46" s="245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 t="s">
        <v>2233</v>
      </c>
      <c r="D47" s="885">
        <v>7.02</v>
      </c>
      <c r="E47" s="547">
        <v>0</v>
      </c>
      <c r="F47" s="548"/>
      <c r="G47" s="547"/>
      <c r="H47" s="618"/>
      <c r="I47" s="547"/>
      <c r="J47" s="245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2230</v>
      </c>
      <c r="D48" s="885">
        <v>114.99</v>
      </c>
      <c r="E48" s="547">
        <v>1411</v>
      </c>
      <c r="F48" s="548"/>
      <c r="G48" s="547"/>
      <c r="H48" s="618"/>
      <c r="I48" s="547"/>
      <c r="J48" s="245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2229</v>
      </c>
      <c r="D49" s="885">
        <v>314.95</v>
      </c>
      <c r="E49" s="547">
        <v>2758</v>
      </c>
      <c r="F49" s="548"/>
      <c r="G49" s="547"/>
      <c r="H49" s="618"/>
      <c r="I49" s="547"/>
      <c r="J49" s="245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2229</v>
      </c>
      <c r="D50" s="885">
        <v>10.84</v>
      </c>
      <c r="E50" s="547">
        <v>51</v>
      </c>
      <c r="F50" s="548"/>
      <c r="G50" s="547"/>
      <c r="H50" s="618"/>
      <c r="I50" s="547"/>
      <c r="J50" s="245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2232</v>
      </c>
      <c r="D51" s="885">
        <v>433.33</v>
      </c>
      <c r="E51" s="547">
        <v>5726</v>
      </c>
      <c r="F51" s="548"/>
      <c r="G51" s="547"/>
      <c r="H51" s="618"/>
      <c r="I51" s="547"/>
      <c r="J51" s="245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2232</v>
      </c>
      <c r="D52" s="885">
        <v>235.4</v>
      </c>
      <c r="E52" s="547">
        <v>2572</v>
      </c>
      <c r="F52" s="548"/>
      <c r="G52" s="547"/>
      <c r="H52" s="618"/>
      <c r="I52" s="547"/>
      <c r="J52" s="245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2229</v>
      </c>
      <c r="D53" s="885">
        <v>132.57</v>
      </c>
      <c r="E53" s="547">
        <v>450</v>
      </c>
      <c r="F53" s="548"/>
      <c r="G53" s="547"/>
      <c r="H53" s="618"/>
      <c r="I53" s="547"/>
      <c r="J53" s="245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2229</v>
      </c>
      <c r="D54" s="885">
        <v>1167.1199999999999</v>
      </c>
      <c r="E54" s="547">
        <v>15535</v>
      </c>
      <c r="F54" s="548"/>
      <c r="G54" s="547"/>
      <c r="H54" s="618"/>
      <c r="I54" s="547"/>
      <c r="J54" s="245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2234</v>
      </c>
      <c r="D55" s="885">
        <v>6.88</v>
      </c>
      <c r="E55" s="547">
        <v>0</v>
      </c>
      <c r="F55" s="548"/>
      <c r="G55" s="547"/>
      <c r="H55" s="618"/>
      <c r="I55" s="547"/>
      <c r="J55" s="245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2231</v>
      </c>
      <c r="D56" s="885">
        <v>33.14</v>
      </c>
      <c r="E56" s="547">
        <v>0</v>
      </c>
      <c r="F56" s="548"/>
      <c r="G56" s="547"/>
      <c r="H56" s="618"/>
      <c r="I56" s="547"/>
      <c r="J56" s="245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2229</v>
      </c>
      <c r="D57" s="885">
        <v>1236.52</v>
      </c>
      <c r="E57" s="547">
        <v>9900</v>
      </c>
      <c r="F57" s="548"/>
      <c r="G57" s="547"/>
      <c r="H57" s="618"/>
      <c r="I57" s="547"/>
      <c r="J57" s="245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2229</v>
      </c>
      <c r="D58" s="885">
        <v>454.2</v>
      </c>
      <c r="E58" s="547">
        <v>2550</v>
      </c>
      <c r="F58" s="548"/>
      <c r="G58" s="547"/>
      <c r="H58" s="618"/>
      <c r="I58" s="547"/>
      <c r="J58" s="245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2229</v>
      </c>
      <c r="D59" s="885">
        <v>23.07</v>
      </c>
      <c r="E59" s="547">
        <v>80</v>
      </c>
      <c r="F59" s="548"/>
      <c r="G59" s="547"/>
      <c r="H59" s="618"/>
      <c r="I59" s="547"/>
      <c r="J59" s="245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2229</v>
      </c>
      <c r="D60" s="885">
        <v>293.39</v>
      </c>
      <c r="E60" s="547">
        <v>1190</v>
      </c>
      <c r="F60" s="548"/>
      <c r="G60" s="547"/>
      <c r="H60" s="618"/>
      <c r="I60" s="547"/>
      <c r="J60" s="245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2229</v>
      </c>
      <c r="D61" s="885">
        <v>208.19</v>
      </c>
      <c r="E61" s="547">
        <v>680</v>
      </c>
      <c r="F61" s="548"/>
      <c r="G61" s="547"/>
      <c r="H61" s="618"/>
      <c r="I61" s="547"/>
      <c r="J61" s="245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2229</v>
      </c>
      <c r="D62" s="885">
        <v>829.2</v>
      </c>
      <c r="E62" s="547">
        <v>4400</v>
      </c>
      <c r="F62" s="548"/>
      <c r="G62" s="547"/>
      <c r="H62" s="618"/>
      <c r="I62" s="547"/>
      <c r="J62" s="245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2232</v>
      </c>
      <c r="D63" s="885">
        <v>6.88</v>
      </c>
      <c r="E63" s="547">
        <v>0</v>
      </c>
      <c r="F63" s="548"/>
      <c r="G63" s="547"/>
      <c r="H63" s="618"/>
      <c r="I63" s="547"/>
      <c r="J63" s="245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2231</v>
      </c>
      <c r="D64" s="885">
        <v>66.739999999999995</v>
      </c>
      <c r="E64" s="547">
        <v>269</v>
      </c>
      <c r="F64" s="548"/>
      <c r="G64" s="547"/>
      <c r="H64" s="618"/>
      <c r="I64" s="547"/>
      <c r="J64" s="245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2231</v>
      </c>
      <c r="D65" s="885">
        <v>633.51</v>
      </c>
      <c r="E65" s="547">
        <v>9042</v>
      </c>
      <c r="F65" s="548"/>
      <c r="G65" s="547"/>
      <c r="H65" s="618"/>
      <c r="I65" s="547"/>
      <c r="J65" s="245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2231</v>
      </c>
      <c r="D66" s="885">
        <v>336.79</v>
      </c>
      <c r="E66" s="547">
        <v>1142</v>
      </c>
      <c r="F66" s="548"/>
      <c r="G66" s="547"/>
      <c r="H66" s="618"/>
      <c r="I66" s="547"/>
      <c r="J66" s="245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2227</v>
      </c>
      <c r="D67" s="885">
        <v>311.41000000000003</v>
      </c>
      <c r="E67" s="547">
        <v>2550</v>
      </c>
      <c r="F67" s="548"/>
      <c r="G67" s="547"/>
      <c r="H67" s="618"/>
      <c r="I67" s="547"/>
      <c r="J67" s="245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881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2222</v>
      </c>
      <c r="D69" s="883">
        <v>376</v>
      </c>
      <c r="E69" s="757">
        <v>3364</v>
      </c>
      <c r="F69" s="544"/>
      <c r="G69" s="757"/>
      <c r="H69" s="269"/>
      <c r="I69" s="757"/>
      <c r="J69" s="245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2222</v>
      </c>
      <c r="D70" s="883">
        <v>157</v>
      </c>
      <c r="E70" s="757">
        <v>970</v>
      </c>
      <c r="F70" s="544"/>
      <c r="G70" s="757"/>
      <c r="H70" s="269"/>
      <c r="I70" s="757"/>
      <c r="J70" s="245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2222</v>
      </c>
      <c r="D71" s="883">
        <v>99</v>
      </c>
      <c r="E71" s="757">
        <v>391</v>
      </c>
      <c r="F71" s="544"/>
      <c r="G71" s="757"/>
      <c r="H71" s="269"/>
      <c r="I71" s="757"/>
      <c r="J71" s="245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2222</v>
      </c>
      <c r="D72" s="883">
        <v>55</v>
      </c>
      <c r="E72" s="757">
        <v>147</v>
      </c>
      <c r="F72" s="544"/>
      <c r="G72" s="757"/>
      <c r="H72" s="269"/>
      <c r="I72" s="757"/>
      <c r="J72" s="245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2222</v>
      </c>
      <c r="D73" s="883">
        <v>40</v>
      </c>
      <c r="E73" s="757">
        <v>0</v>
      </c>
      <c r="F73" s="544"/>
      <c r="G73" s="757"/>
      <c r="H73" s="269"/>
      <c r="I73" s="757"/>
      <c r="J73" s="245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2222</v>
      </c>
      <c r="D74" s="883">
        <v>305</v>
      </c>
      <c r="E74" s="757">
        <v>2455</v>
      </c>
      <c r="F74" s="544"/>
      <c r="G74" s="757"/>
      <c r="H74" s="269"/>
      <c r="I74" s="757"/>
      <c r="J74" s="245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2222</v>
      </c>
      <c r="D75" s="883">
        <v>131</v>
      </c>
      <c r="E75" s="757">
        <v>966</v>
      </c>
      <c r="F75" s="544"/>
      <c r="G75" s="757"/>
      <c r="H75" s="269"/>
      <c r="I75" s="757"/>
      <c r="J75" s="245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2222</v>
      </c>
      <c r="D76" s="883">
        <v>65</v>
      </c>
      <c r="E76" s="757">
        <v>242</v>
      </c>
      <c r="F76" s="544"/>
      <c r="G76" s="757"/>
      <c r="H76" s="269"/>
      <c r="I76" s="757"/>
      <c r="J76" s="245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2222</v>
      </c>
      <c r="D77" s="883">
        <v>99</v>
      </c>
      <c r="E77" s="757">
        <v>391</v>
      </c>
      <c r="F77" s="544"/>
      <c r="G77" s="757"/>
      <c r="H77" s="269"/>
      <c r="I77" s="757"/>
      <c r="J77" s="245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2222</v>
      </c>
      <c r="D78" s="883">
        <v>41</v>
      </c>
      <c r="E78" s="757">
        <v>3</v>
      </c>
      <c r="F78" s="544"/>
      <c r="G78" s="757"/>
      <c r="H78" s="269"/>
      <c r="I78" s="757"/>
      <c r="J78" s="245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2222</v>
      </c>
      <c r="D79" s="883">
        <v>56</v>
      </c>
      <c r="E79" s="757">
        <v>152</v>
      </c>
      <c r="F79" s="544"/>
      <c r="G79" s="757"/>
      <c r="H79" s="269"/>
      <c r="I79" s="757"/>
      <c r="J79" s="245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2222</v>
      </c>
      <c r="D80" s="883">
        <v>80</v>
      </c>
      <c r="E80" s="757">
        <v>198</v>
      </c>
      <c r="F80" s="544"/>
      <c r="G80" s="757"/>
      <c r="H80" s="269"/>
      <c r="I80" s="757"/>
      <c r="J80" s="245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2222</v>
      </c>
      <c r="D81" s="883">
        <v>1065</v>
      </c>
      <c r="E81" s="757">
        <v>8280</v>
      </c>
      <c r="F81" s="544"/>
      <c r="G81" s="757"/>
      <c r="H81" s="269"/>
      <c r="I81" s="757"/>
      <c r="J81" s="245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89" t="s">
        <v>2222</v>
      </c>
      <c r="D82" s="883">
        <v>101</v>
      </c>
      <c r="E82" s="757">
        <v>2</v>
      </c>
      <c r="F82" s="544"/>
      <c r="G82" s="757"/>
      <c r="H82" s="269"/>
      <c r="I82" s="757"/>
      <c r="J82" s="245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89" t="s">
        <v>2222</v>
      </c>
      <c r="D83" s="883">
        <v>40</v>
      </c>
      <c r="E83" s="757">
        <v>0</v>
      </c>
      <c r="F83" s="544"/>
      <c r="G83" s="757"/>
      <c r="H83" s="269"/>
      <c r="I83" s="757"/>
      <c r="J83" s="245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89" t="s">
        <v>2222</v>
      </c>
      <c r="D84" s="883">
        <v>42</v>
      </c>
      <c r="E84" s="757">
        <v>0</v>
      </c>
      <c r="F84" s="544"/>
      <c r="G84" s="757"/>
      <c r="H84" s="269"/>
      <c r="I84" s="757"/>
      <c r="J84" s="245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2222</v>
      </c>
      <c r="D85" s="883">
        <v>235</v>
      </c>
      <c r="E85" s="757">
        <v>900</v>
      </c>
      <c r="F85" s="544"/>
      <c r="G85" s="757"/>
      <c r="H85" s="269"/>
      <c r="I85" s="757"/>
      <c r="J85" s="245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2222</v>
      </c>
      <c r="D86" s="883">
        <v>229</v>
      </c>
      <c r="E86" s="757">
        <v>1440</v>
      </c>
      <c r="F86" s="544"/>
      <c r="G86" s="757"/>
      <c r="H86" s="269"/>
      <c r="I86" s="757"/>
      <c r="J86" s="245" t="s">
        <v>2203</v>
      </c>
      <c r="K86" s="245"/>
      <c r="L86" s="245"/>
    </row>
    <row r="87" spans="1:36" s="677" customFormat="1" x14ac:dyDescent="0.25">
      <c r="A87" s="764" t="s">
        <v>772</v>
      </c>
      <c r="B87" s="762" t="s">
        <v>200</v>
      </c>
      <c r="C87" s="848" t="s">
        <v>2222</v>
      </c>
      <c r="D87" s="882">
        <v>286</v>
      </c>
      <c r="E87" s="763">
        <v>0</v>
      </c>
      <c r="F87" s="676"/>
      <c r="G87" s="771"/>
      <c r="H87" s="674"/>
      <c r="I87" s="771"/>
      <c r="J87" s="245" t="s">
        <v>2203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89" t="s">
        <v>2222</v>
      </c>
      <c r="D88" s="883">
        <v>220</v>
      </c>
      <c r="E88" s="757">
        <v>994</v>
      </c>
      <c r="F88" s="544"/>
      <c r="G88" s="757"/>
      <c r="H88" s="269"/>
      <c r="I88" s="757"/>
      <c r="J88" s="245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89" t="s">
        <v>2222</v>
      </c>
      <c r="D89" s="883">
        <v>60</v>
      </c>
      <c r="E89" s="757">
        <v>0</v>
      </c>
      <c r="F89" s="544"/>
      <c r="G89" s="757"/>
      <c r="H89" s="269"/>
      <c r="I89" s="757"/>
      <c r="J89" s="245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2222</v>
      </c>
      <c r="D90" s="883">
        <v>139</v>
      </c>
      <c r="E90" s="757">
        <v>584</v>
      </c>
      <c r="F90" s="544"/>
      <c r="G90" s="757"/>
      <c r="H90" s="269"/>
      <c r="I90" s="757"/>
      <c r="J90" s="245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2222</v>
      </c>
      <c r="D91" s="883">
        <v>40</v>
      </c>
      <c r="E91" s="757">
        <v>0</v>
      </c>
      <c r="F91" s="544"/>
      <c r="G91" s="757"/>
      <c r="H91" s="269"/>
      <c r="I91" s="757"/>
      <c r="J91" s="245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2222</v>
      </c>
      <c r="D92" s="883">
        <v>239.8</v>
      </c>
      <c r="E92" s="757">
        <v>1804</v>
      </c>
      <c r="F92" s="544"/>
      <c r="G92" s="757"/>
      <c r="H92" s="269"/>
      <c r="I92" s="757"/>
      <c r="J92" s="245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2222</v>
      </c>
      <c r="D93" s="883">
        <v>2089</v>
      </c>
      <c r="E93" s="757">
        <v>22800</v>
      </c>
      <c r="F93" s="544"/>
      <c r="G93" s="757"/>
      <c r="H93" s="269"/>
      <c r="I93" s="757"/>
      <c r="J93" s="245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2222</v>
      </c>
      <c r="D94" s="883">
        <v>65</v>
      </c>
      <c r="E94" s="757">
        <v>42</v>
      </c>
      <c r="F94" s="544"/>
      <c r="G94" s="757"/>
      <c r="H94" s="269"/>
      <c r="I94" s="757"/>
      <c r="J94" s="245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881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2222</v>
      </c>
      <c r="D96" s="883"/>
      <c r="E96" s="757"/>
      <c r="F96" s="544"/>
      <c r="G96" s="757"/>
      <c r="H96" s="269">
        <v>93.7</v>
      </c>
      <c r="I96" s="757">
        <v>118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2222</v>
      </c>
      <c r="D97" s="883"/>
      <c r="E97" s="757"/>
      <c r="F97" s="544"/>
      <c r="G97" s="757"/>
      <c r="H97" s="269">
        <v>226.74</v>
      </c>
      <c r="I97" s="757">
        <v>317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2222</v>
      </c>
      <c r="D98" s="883"/>
      <c r="E98" s="757"/>
      <c r="F98" s="544"/>
      <c r="G98" s="757"/>
      <c r="H98" s="269">
        <v>39.299999999999997</v>
      </c>
      <c r="I98" s="757">
        <v>19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2222</v>
      </c>
      <c r="D99" s="883"/>
      <c r="E99" s="757"/>
      <c r="F99" s="544"/>
      <c r="G99" s="757"/>
      <c r="H99" s="269">
        <v>50.51</v>
      </c>
      <c r="I99" s="757">
        <v>41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2222</v>
      </c>
      <c r="D100" s="883"/>
      <c r="E100" s="757"/>
      <c r="F100" s="544"/>
      <c r="G100" s="757"/>
      <c r="H100" s="269">
        <v>40.9</v>
      </c>
      <c r="I100" s="757">
        <v>23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2222</v>
      </c>
      <c r="D101" s="883"/>
      <c r="E101" s="757"/>
      <c r="F101" s="544"/>
      <c r="G101" s="757"/>
      <c r="H101" s="269">
        <v>53.18</v>
      </c>
      <c r="I101" s="757">
        <v>46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2222</v>
      </c>
      <c r="D102" s="883"/>
      <c r="E102" s="757"/>
      <c r="F102" s="544"/>
      <c r="G102" s="757"/>
      <c r="H102" s="269">
        <v>50.51</v>
      </c>
      <c r="I102" s="757">
        <v>41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2222</v>
      </c>
      <c r="D103" s="883"/>
      <c r="E103" s="75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2222</v>
      </c>
      <c r="D104" s="883"/>
      <c r="E104" s="757"/>
      <c r="F104" s="544"/>
      <c r="G104" s="757"/>
      <c r="H104" s="269">
        <v>101.49</v>
      </c>
      <c r="I104" s="757">
        <v>130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2222</v>
      </c>
      <c r="D105" s="883"/>
      <c r="E105" s="757"/>
      <c r="F105" s="544"/>
      <c r="G105" s="757"/>
      <c r="H105" s="269">
        <v>53.18</v>
      </c>
      <c r="I105" s="757">
        <v>46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2222</v>
      </c>
      <c r="D106" s="883"/>
      <c r="E106" s="75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 t="s">
        <v>2222</v>
      </c>
      <c r="D107" s="883"/>
      <c r="E107" s="757"/>
      <c r="F107" s="544"/>
      <c r="G107" s="757"/>
      <c r="H107" s="269">
        <v>40.369999999999997</v>
      </c>
      <c r="I107" s="757">
        <v>22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2222</v>
      </c>
      <c r="D108" s="883"/>
      <c r="E108" s="757"/>
      <c r="F108" s="544"/>
      <c r="G108" s="757"/>
      <c r="H108" s="269">
        <v>139.13</v>
      </c>
      <c r="I108" s="757">
        <v>188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2222</v>
      </c>
      <c r="D109" s="883"/>
      <c r="E109" s="757"/>
      <c r="F109" s="544"/>
      <c r="G109" s="757"/>
      <c r="H109" s="269">
        <v>39.299999999999997</v>
      </c>
      <c r="I109" s="757">
        <v>3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2222</v>
      </c>
      <c r="D110" s="883"/>
      <c r="E110" s="757"/>
      <c r="F110" s="544"/>
      <c r="G110" s="757"/>
      <c r="H110" s="269">
        <v>39.299999999999997</v>
      </c>
      <c r="I110" s="757">
        <v>1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2222</v>
      </c>
      <c r="D111" s="883"/>
      <c r="E111" s="75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2222</v>
      </c>
      <c r="D112" s="883"/>
      <c r="E112" s="75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2222</v>
      </c>
      <c r="D113" s="883"/>
      <c r="E113" s="757"/>
      <c r="F113" s="544"/>
      <c r="G113" s="757"/>
      <c r="H113" s="269">
        <v>39.299999999999997</v>
      </c>
      <c r="I113" s="757">
        <v>2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2222</v>
      </c>
      <c r="D114" s="883"/>
      <c r="E114" s="757"/>
      <c r="F114" s="544"/>
      <c r="G114" s="757"/>
      <c r="H114" s="269">
        <v>39.299999999999997</v>
      </c>
      <c r="I114" s="757">
        <v>10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2222</v>
      </c>
      <c r="D115" s="883"/>
      <c r="E115" s="757"/>
      <c r="F115" s="544"/>
      <c r="G115" s="757"/>
      <c r="H115" s="269">
        <v>2402.1799999999998</v>
      </c>
      <c r="I115" s="757">
        <v>3167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2222</v>
      </c>
      <c r="D116" s="883"/>
      <c r="E116" s="757"/>
      <c r="F116" s="544"/>
      <c r="G116" s="757"/>
      <c r="H116" s="269">
        <v>192.1</v>
      </c>
      <c r="I116" s="757">
        <v>268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2222</v>
      </c>
      <c r="D117" s="883"/>
      <c r="E117" s="757"/>
      <c r="F117" s="544"/>
      <c r="G117" s="757"/>
      <c r="H117" s="269">
        <v>39.299999999999997</v>
      </c>
      <c r="I117" s="757">
        <v>1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2222</v>
      </c>
      <c r="D118" s="883"/>
      <c r="E118" s="757"/>
      <c r="F118" s="544"/>
      <c r="G118" s="757"/>
      <c r="H118" s="269">
        <v>64.400000000000006</v>
      </c>
      <c r="I118" s="757">
        <v>67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2222</v>
      </c>
      <c r="D119" s="883"/>
      <c r="E119" s="757"/>
      <c r="F119" s="544"/>
      <c r="G119" s="757"/>
      <c r="H119" s="269">
        <v>50.51</v>
      </c>
      <c r="I119" s="757">
        <v>41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2222</v>
      </c>
      <c r="D120" s="883"/>
      <c r="E120" s="757"/>
      <c r="F120" s="544"/>
      <c r="G120" s="757"/>
      <c r="H120" s="269">
        <v>214.72</v>
      </c>
      <c r="I120" s="757">
        <v>300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2222</v>
      </c>
      <c r="D121" s="883"/>
      <c r="E121" s="75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2222</v>
      </c>
      <c r="D122" s="883"/>
      <c r="E122" s="757"/>
      <c r="F122" s="544"/>
      <c r="G122" s="757"/>
      <c r="H122" s="269">
        <v>494.27</v>
      </c>
      <c r="I122" s="757">
        <v>673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2222</v>
      </c>
      <c r="D123" s="883"/>
      <c r="E123" s="757"/>
      <c r="F123" s="544"/>
      <c r="G123" s="757"/>
      <c r="H123" s="269">
        <v>56.13</v>
      </c>
      <c r="I123" s="757">
        <v>9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2222</v>
      </c>
      <c r="D124" s="883"/>
      <c r="E124" s="757"/>
      <c r="F124" s="544"/>
      <c r="G124" s="757"/>
      <c r="H124" s="269">
        <v>55.32</v>
      </c>
      <c r="I124" s="757">
        <v>50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2222</v>
      </c>
      <c r="D125" s="883"/>
      <c r="E125" s="757"/>
      <c r="F125" s="544"/>
      <c r="G125" s="757"/>
      <c r="H125" s="269">
        <v>39.299999999999997</v>
      </c>
      <c r="I125" s="757">
        <v>13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2222</v>
      </c>
      <c r="D126" s="883"/>
      <c r="E126" s="75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2204</v>
      </c>
      <c r="D127" s="883"/>
      <c r="E127" s="757"/>
      <c r="F127" s="544"/>
      <c r="G127" s="757"/>
      <c r="H127" s="269">
        <v>59.06</v>
      </c>
      <c r="I127" s="757">
        <v>57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2222</v>
      </c>
      <c r="D128" s="883"/>
      <c r="E128" s="757"/>
      <c r="F128" s="544"/>
      <c r="G128" s="757"/>
      <c r="H128" s="269">
        <v>149.52000000000001</v>
      </c>
      <c r="I128" s="757">
        <v>204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2204</v>
      </c>
      <c r="D129" s="883"/>
      <c r="E129" s="757"/>
      <c r="F129" s="544"/>
      <c r="G129" s="757"/>
      <c r="H129" s="269">
        <v>496.56</v>
      </c>
      <c r="I129" s="757">
        <v>676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2204</v>
      </c>
      <c r="D130" s="883"/>
      <c r="E130" s="757"/>
      <c r="F130" s="544"/>
      <c r="G130" s="757"/>
      <c r="H130" s="269">
        <v>39.299999999999997</v>
      </c>
      <c r="I130" s="757">
        <v>3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2204</v>
      </c>
      <c r="D131" s="883"/>
      <c r="E131" s="757"/>
      <c r="F131" s="544"/>
      <c r="G131" s="757"/>
      <c r="H131" s="269">
        <v>2838.99</v>
      </c>
      <c r="I131" s="757">
        <v>3738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2204</v>
      </c>
      <c r="D132" s="883"/>
      <c r="E132" s="75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2204</v>
      </c>
      <c r="D133" s="883"/>
      <c r="E133" s="75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2204</v>
      </c>
      <c r="D134" s="883"/>
      <c r="E134" s="757"/>
      <c r="F134" s="544"/>
      <c r="G134" s="757"/>
      <c r="H134" s="269">
        <v>39.299999999999997</v>
      </c>
      <c r="I134" s="757">
        <v>13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2204</v>
      </c>
      <c r="D135" s="883"/>
      <c r="E135" s="757"/>
      <c r="F135" s="544"/>
      <c r="G135" s="757"/>
      <c r="H135" s="269">
        <v>618.96</v>
      </c>
      <c r="I135" s="757">
        <v>836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2204</v>
      </c>
      <c r="D136" s="883"/>
      <c r="E136" s="757"/>
      <c r="F136" s="544"/>
      <c r="G136" s="757"/>
      <c r="H136" s="269">
        <v>364.22</v>
      </c>
      <c r="I136" s="757">
        <v>503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2204</v>
      </c>
      <c r="D137" s="883"/>
      <c r="E137" s="757"/>
      <c r="F137" s="544"/>
      <c r="G137" s="757"/>
      <c r="H137" s="269">
        <v>350.45</v>
      </c>
      <c r="I137" s="757">
        <v>485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881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883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881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889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881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2224</v>
      </c>
      <c r="D143" s="883"/>
      <c r="E143" s="757"/>
      <c r="F143" s="544"/>
      <c r="G143" s="757"/>
      <c r="H143" s="269">
        <v>-35</v>
      </c>
      <c r="I143" s="757">
        <v>60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881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883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889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883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883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883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883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883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883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883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883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883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883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883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883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883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883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883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883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883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883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883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883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883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883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883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883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883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883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883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883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883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883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883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883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883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883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883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883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883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883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883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883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883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883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883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883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883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883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883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883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883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883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883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883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883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883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883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883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883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883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883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883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883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883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883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883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883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883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883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883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883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883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883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883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883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883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883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883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883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883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883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883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883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883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883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883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883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883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883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883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883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883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883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883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883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883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883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883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883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883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883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883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883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883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883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883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883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883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883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883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5" zoomScaleNormal="115" workbookViewId="0">
      <pane ySplit="1" topLeftCell="A110" activePane="bottomLeft" state="frozen"/>
      <selection pane="bottomLeft" activeCell="C127" sqref="C1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1925</v>
      </c>
      <c r="D3" s="328"/>
      <c r="E3" s="763"/>
      <c r="F3" s="620">
        <v>901.79</v>
      </c>
      <c r="G3" s="763">
        <v>884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1929</v>
      </c>
      <c r="D4" s="269"/>
      <c r="E4" s="757"/>
      <c r="F4" s="544">
        <v>79.84</v>
      </c>
      <c r="G4" s="757">
        <v>23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1935</v>
      </c>
      <c r="D5" s="328"/>
      <c r="E5" s="763"/>
      <c r="F5" s="620">
        <v>75.08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1931</v>
      </c>
      <c r="D6" s="269"/>
      <c r="E6" s="757"/>
      <c r="F6" s="544">
        <v>90.34</v>
      </c>
      <c r="G6" s="757">
        <v>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1927</v>
      </c>
      <c r="D7" s="269"/>
      <c r="E7" s="757"/>
      <c r="F7" s="544">
        <v>64.16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1930</v>
      </c>
      <c r="D8" s="269"/>
      <c r="E8" s="757"/>
      <c r="F8" s="544">
        <v>118.04</v>
      </c>
      <c r="G8" s="757">
        <v>63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1930</v>
      </c>
      <c r="D9" s="269"/>
      <c r="E9" s="757"/>
      <c r="F9" s="544">
        <v>116.12</v>
      </c>
      <c r="G9" s="757">
        <v>61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1930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1926</v>
      </c>
      <c r="D11" s="269"/>
      <c r="E11" s="757"/>
      <c r="F11" s="544">
        <v>75.56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1929</v>
      </c>
      <c r="D12" s="269"/>
      <c r="E12" s="757"/>
      <c r="F12" s="544">
        <v>57.9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1929</v>
      </c>
      <c r="D13" s="269"/>
      <c r="E13" s="757"/>
      <c r="F13" s="544">
        <v>69.349999999999994</v>
      </c>
      <c r="G13" s="757">
        <v>12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1931</v>
      </c>
      <c r="D14" s="269"/>
      <c r="E14" s="757"/>
      <c r="F14" s="544">
        <v>68.400000000000006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1929</v>
      </c>
      <c r="D15" s="269"/>
      <c r="E15" s="757"/>
      <c r="F15" s="544">
        <v>159.08000000000001</v>
      </c>
      <c r="G15" s="757">
        <v>106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1934</v>
      </c>
      <c r="D16" s="269"/>
      <c r="E16" s="757"/>
      <c r="F16" s="544">
        <v>51.68</v>
      </c>
      <c r="G16" s="757">
        <v>22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1934</v>
      </c>
      <c r="D17" s="269"/>
      <c r="E17" s="757"/>
      <c r="F17" s="544">
        <v>57.9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125.62</v>
      </c>
      <c r="E19" s="546">
        <f>1077+5</f>
        <v>1082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45.79</v>
      </c>
      <c r="E21" s="546">
        <v>537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42.92</v>
      </c>
      <c r="E23" s="546">
        <v>484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603.02</v>
      </c>
      <c r="E24" s="546">
        <f>5120+36</f>
        <v>5156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76.260000000000005</v>
      </c>
      <c r="E26" s="546">
        <v>950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17.329999999999998</v>
      </c>
      <c r="E28" s="546">
        <v>126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238.56</v>
      </c>
      <c r="E29" s="546">
        <f>1987+13</f>
        <v>2000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633.71</v>
      </c>
      <c r="E30" s="546">
        <f>8400+30</f>
        <v>8430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426.62</v>
      </c>
      <c r="E33" s="546">
        <f>3750+24</f>
        <v>3774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23.47</v>
      </c>
      <c r="E35" s="546">
        <v>212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18.600000000000001</v>
      </c>
      <c r="E36" s="546">
        <v>144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3690.9</v>
      </c>
      <c r="E37" s="546">
        <f>63700+139</f>
        <v>63839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16.39</v>
      </c>
      <c r="E38" s="546">
        <v>113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175.34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990.64</v>
      </c>
      <c r="E43" s="546">
        <f>11400+53</f>
        <v>11453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10.37</v>
      </c>
      <c r="E45" s="546">
        <v>29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23.47</v>
      </c>
      <c r="E48" s="546">
        <v>212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273.36</v>
      </c>
      <c r="E49" s="546">
        <f>2144+16</f>
        <v>2160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</v>
      </c>
      <c r="E50" s="546">
        <v>10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319.2</v>
      </c>
      <c r="E51" s="546">
        <f>3423+16</f>
        <v>3439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123.85</v>
      </c>
      <c r="E52" s="546">
        <v>1547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883.01</v>
      </c>
      <c r="E54" s="546">
        <f>11100+47</f>
        <v>11147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12.83</v>
      </c>
      <c r="E55" s="546">
        <v>67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180.96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72.760000000000005</v>
      </c>
      <c r="E64" s="546">
        <v>347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542.85</v>
      </c>
      <c r="E65" s="546">
        <f>8034+13</f>
        <v>8047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312.08</v>
      </c>
      <c r="E66" s="546">
        <f>480+22</f>
        <v>502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247.01</v>
      </c>
      <c r="E67" s="546">
        <f>2030+13</f>
        <v>2043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1933</v>
      </c>
      <c r="D69" s="269">
        <v>258</v>
      </c>
      <c r="E69" s="757">
        <v>1983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134</v>
      </c>
      <c r="E70" s="757">
        <v>673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111</v>
      </c>
      <c r="E71" s="757">
        <v>461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61</v>
      </c>
      <c r="E72" s="757">
        <v>189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322</v>
      </c>
      <c r="E74" s="757">
        <v>2381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68</v>
      </c>
      <c r="E75" s="757">
        <v>308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68</v>
      </c>
      <c r="E76" s="757">
        <v>255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97</v>
      </c>
      <c r="E77" s="757">
        <v>337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58</v>
      </c>
      <c r="E79" s="757">
        <v>161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80</v>
      </c>
      <c r="E80" s="757">
        <v>176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1845</v>
      </c>
      <c r="E81" s="757">
        <v>12480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2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513</v>
      </c>
      <c r="E85" s="757">
        <v>3419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257</v>
      </c>
      <c r="E86" s="757">
        <v>1607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1932</v>
      </c>
      <c r="D88" s="269">
        <v>233</v>
      </c>
      <c r="E88" s="757">
        <v>1134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63</v>
      </c>
      <c r="E89" s="757">
        <v>23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99</v>
      </c>
      <c r="E90" s="757">
        <v>333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60</v>
      </c>
      <c r="E91" s="757">
        <v>181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2182</v>
      </c>
      <c r="E92" s="757">
        <v>21960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343</v>
      </c>
      <c r="E93" s="757">
        <v>2580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/>
      <c r="D95" s="269"/>
      <c r="E95" s="757"/>
      <c r="F95" s="544"/>
      <c r="G95" s="757"/>
      <c r="H95" s="269">
        <v>120.96</v>
      </c>
      <c r="I95" s="757">
        <v>160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/>
      <c r="D96" s="269"/>
      <c r="E96" s="757"/>
      <c r="F96" s="544"/>
      <c r="G96" s="757"/>
      <c r="H96" s="269">
        <v>239.47</v>
      </c>
      <c r="I96" s="757">
        <v>335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19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59.06</v>
      </c>
      <c r="I98" s="757">
        <v>57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64.930000000000007</v>
      </c>
      <c r="I99" s="757">
        <v>68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 t="s">
        <v>1933</v>
      </c>
      <c r="D100" s="269"/>
      <c r="E100" s="757"/>
      <c r="F100" s="544"/>
      <c r="G100" s="757"/>
      <c r="H100" s="269">
        <v>39.299999999999997</v>
      </c>
      <c r="I100" s="757">
        <v>16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/>
      <c r="D101" s="269"/>
      <c r="E101" s="757"/>
      <c r="F101" s="544"/>
      <c r="G101" s="757"/>
      <c r="H101" s="269">
        <v>47.31</v>
      </c>
      <c r="I101" s="757">
        <v>35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15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7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262.8</v>
      </c>
      <c r="I115" s="757">
        <v>368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17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1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/>
      <c r="D122" s="269"/>
      <c r="E122" s="757"/>
      <c r="F122" s="544"/>
      <c r="G122" s="757"/>
      <c r="H122" s="269">
        <v>56.13</v>
      </c>
      <c r="I122" s="757">
        <v>3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/>
      <c r="D123" s="269"/>
      <c r="E123" s="757"/>
      <c r="F123" s="544"/>
      <c r="G123" s="757"/>
      <c r="H123" s="269">
        <v>51.05</v>
      </c>
      <c r="I123" s="757">
        <v>42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18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/>
      <c r="D126" s="269"/>
      <c r="E126" s="757"/>
      <c r="F126" s="544"/>
      <c r="G126" s="757"/>
      <c r="H126" s="269">
        <v>46.24</v>
      </c>
      <c r="I126" s="757">
        <v>33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/>
      <c r="D127" s="269"/>
      <c r="E127" s="757"/>
      <c r="F127" s="544"/>
      <c r="G127" s="757"/>
      <c r="H127" s="269">
        <v>209.77</v>
      </c>
      <c r="I127" s="757">
        <v>293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/>
      <c r="D128" s="269"/>
      <c r="E128" s="757"/>
      <c r="F128" s="544"/>
      <c r="G128" s="757"/>
      <c r="H128" s="269">
        <v>800.27</v>
      </c>
      <c r="I128" s="757">
        <v>1073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43.57</v>
      </c>
      <c r="I129" s="757">
        <v>28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2919.32</v>
      </c>
      <c r="I130" s="757">
        <v>3843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12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 t="s">
        <v>1924</v>
      </c>
      <c r="D134" s="269"/>
      <c r="E134" s="757"/>
      <c r="F134" s="544"/>
      <c r="G134" s="757"/>
      <c r="H134" s="269">
        <v>408.59</v>
      </c>
      <c r="I134" s="757">
        <v>561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328.26</v>
      </c>
      <c r="I135" s="757">
        <v>456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 t="s">
        <v>1923</v>
      </c>
      <c r="D136" s="269"/>
      <c r="E136" s="757"/>
      <c r="F136" s="544"/>
      <c r="G136" s="757"/>
      <c r="H136" s="269">
        <v>402.47</v>
      </c>
      <c r="I136" s="757">
        <v>553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 t="s">
        <v>1932</v>
      </c>
      <c r="D138" s="269"/>
      <c r="E138" s="757"/>
      <c r="F138" s="544"/>
      <c r="G138" s="757"/>
      <c r="H138" s="269">
        <v>126</v>
      </c>
      <c r="I138" s="757">
        <v>3300</v>
      </c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1931</v>
      </c>
      <c r="D142" s="269"/>
      <c r="E142" s="757"/>
      <c r="F142" s="544"/>
      <c r="G142" s="757"/>
      <c r="H142" s="269">
        <v>35</v>
      </c>
      <c r="I142" s="757">
        <v>1900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16" sqref="I1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1928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95"/>
      <c r="B4" s="996"/>
      <c r="C4" s="996"/>
      <c r="D4" s="996"/>
      <c r="E4" s="996"/>
      <c r="F4" s="996"/>
      <c r="G4" s="99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245546</v>
      </c>
      <c r="D13" s="34"/>
      <c r="E13" s="35" t="s">
        <v>33</v>
      </c>
      <c r="F13" s="34"/>
      <c r="G13" s="42">
        <v>22729.63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1091</v>
      </c>
      <c r="D15" s="34"/>
      <c r="E15" s="35" t="s">
        <v>10</v>
      </c>
      <c r="F15" s="34"/>
      <c r="G15" s="42">
        <v>1719.04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14628</v>
      </c>
      <c r="D17" s="34"/>
      <c r="E17" s="35" t="s">
        <v>278</v>
      </c>
      <c r="F17" s="34"/>
      <c r="G17" s="42">
        <v>10204.34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2" zoomScaleNormal="112" workbookViewId="0">
      <pane ySplit="1" topLeftCell="A119" activePane="bottomLeft" state="frozen"/>
      <selection pane="bottomLeft" activeCell="H128" sqref="H1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1889</v>
      </c>
      <c r="D3" s="328"/>
      <c r="E3" s="763"/>
      <c r="F3" s="620">
        <v>713.05</v>
      </c>
      <c r="G3" s="763">
        <v>817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1917</v>
      </c>
      <c r="D4" s="269"/>
      <c r="E4" s="757"/>
      <c r="F4" s="544">
        <v>77.95</v>
      </c>
      <c r="G4" s="757">
        <v>25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1890</v>
      </c>
      <c r="D5" s="328"/>
      <c r="E5" s="763"/>
      <c r="F5" s="620">
        <v>72.319999999999993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1916</v>
      </c>
      <c r="D6" s="269"/>
      <c r="E6" s="757"/>
      <c r="F6" s="544">
        <v>72.319999999999993</v>
      </c>
      <c r="G6" s="757">
        <v>18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1914</v>
      </c>
      <c r="D7" s="269"/>
      <c r="E7" s="757"/>
      <c r="F7" s="544">
        <v>73.53</v>
      </c>
      <c r="G7" s="757">
        <v>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1915</v>
      </c>
      <c r="D8" s="269"/>
      <c r="E8" s="757"/>
      <c r="F8" s="544">
        <v>85.95</v>
      </c>
      <c r="G8" s="757">
        <v>35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1915</v>
      </c>
      <c r="D9" s="269"/>
      <c r="E9" s="757"/>
      <c r="F9" s="544">
        <v>89.16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1915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1914</v>
      </c>
      <c r="D11" s="269"/>
      <c r="E11" s="757"/>
      <c r="F11" s="544">
        <v>74.27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1917</v>
      </c>
      <c r="D12" s="269"/>
      <c r="E12" s="757"/>
      <c r="F12" s="544">
        <v>57.9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>
        <v>70.72</v>
      </c>
      <c r="G13" s="757">
        <v>16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1916</v>
      </c>
      <c r="D14" s="269"/>
      <c r="E14" s="757"/>
      <c r="F14" s="544">
        <v>62.7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>
        <v>101.6</v>
      </c>
      <c r="G15" s="757">
        <v>79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1921</v>
      </c>
      <c r="D16" s="269"/>
      <c r="E16" s="757"/>
      <c r="F16" s="544">
        <v>46.99</v>
      </c>
      <c r="G16" s="757">
        <v>21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1920</v>
      </c>
      <c r="D17" s="269"/>
      <c r="E17" s="757"/>
      <c r="F17" s="544">
        <v>57.9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137.82</v>
      </c>
      <c r="E19" s="546">
        <f>1424+5</f>
        <v>1429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135.32</v>
      </c>
      <c r="E21" s="546">
        <v>1814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54.3</v>
      </c>
      <c r="E23" s="546">
        <v>643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791.2</v>
      </c>
      <c r="E24" s="546">
        <f>8080+44</f>
        <v>8124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111.81</v>
      </c>
      <c r="E26" s="546">
        <v>1447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17.760000000000002</v>
      </c>
      <c r="E28" s="546">
        <v>132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244.13</v>
      </c>
      <c r="E29" s="546">
        <f>2413+12</f>
        <v>2425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682.13</v>
      </c>
      <c r="E30" s="546">
        <f>9480+31</f>
        <v>9511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23.29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561.63</v>
      </c>
      <c r="E33" s="546">
        <f>6056+29</f>
        <v>6085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33.340000000000003</v>
      </c>
      <c r="E35" s="546">
        <v>350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17.89</v>
      </c>
      <c r="E36" s="546">
        <v>134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4535.5200000000004</v>
      </c>
      <c r="E37" s="546">
        <f>83900+153</f>
        <v>84053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21.73</v>
      </c>
      <c r="E38" s="546">
        <v>188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175.34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1175.96</v>
      </c>
      <c r="E43" s="546">
        <f>15120+61</f>
        <v>15181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10.16</v>
      </c>
      <c r="E45" s="546">
        <v>26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/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34.71</v>
      </c>
      <c r="E48" s="546">
        <v>369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301.29000000000002</v>
      </c>
      <c r="E49" s="546">
        <f>2652+17</f>
        <v>2669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391.31</v>
      </c>
      <c r="E51" s="546">
        <f>5164+17</f>
        <v>5181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164.71</v>
      </c>
      <c r="E52" s="546">
        <v>2072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1083.97</v>
      </c>
      <c r="E54" s="546">
        <f>13980+58</f>
        <v>14038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15.92</v>
      </c>
      <c r="E55" s="546">
        <v>111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1269.2</v>
      </c>
      <c r="E57" s="546">
        <v>10350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330.54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180.96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912.41</v>
      </c>
      <c r="E62" s="546">
        <v>5040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77.72</v>
      </c>
      <c r="E64" s="546">
        <f>483+2</f>
        <v>485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502.26</v>
      </c>
      <c r="E65" s="546">
        <f>7029+12</f>
        <v>7041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346.47</v>
      </c>
      <c r="E66" s="546">
        <f>1440+22</f>
        <v>1462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267.76</v>
      </c>
      <c r="E67" s="546">
        <f>2621+13</f>
        <v>2634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1919</v>
      </c>
      <c r="D69" s="269">
        <v>328</v>
      </c>
      <c r="E69" s="757">
        <v>2647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135</v>
      </c>
      <c r="E70" s="757">
        <v>705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103</v>
      </c>
      <c r="E71" s="757">
        <v>411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58</v>
      </c>
      <c r="E72" s="757">
        <v>183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46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292</v>
      </c>
      <c r="E74" s="757">
        <v>2141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164</v>
      </c>
      <c r="E75" s="757">
        <v>1219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63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85</v>
      </c>
      <c r="E77" s="757">
        <v>255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38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49</v>
      </c>
      <c r="E79" s="757">
        <v>106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192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1608</v>
      </c>
      <c r="E81" s="757">
        <v>14640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99</v>
      </c>
      <c r="E82" s="757">
        <v>-1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37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41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349</v>
      </c>
      <c r="E85" s="757">
        <v>2490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270</v>
      </c>
      <c r="E86" s="757">
        <v>2620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224</v>
      </c>
      <c r="E88" s="757">
        <v>1081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53</v>
      </c>
      <c r="E89" s="757">
        <v>-44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110</v>
      </c>
      <c r="E90" s="757">
        <v>465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56</v>
      </c>
      <c r="E91" s="757">
        <v>168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2349</v>
      </c>
      <c r="E92" s="757">
        <v>23400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322</v>
      </c>
      <c r="E93" s="757">
        <v>2412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/>
      <c r="D95" s="269"/>
      <c r="E95" s="757"/>
      <c r="F95" s="544"/>
      <c r="G95" s="757"/>
      <c r="H95" s="269">
        <v>149.52000000000001</v>
      </c>
      <c r="I95" s="757">
        <v>204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/>
      <c r="D96" s="269"/>
      <c r="E96" s="757"/>
      <c r="F96" s="544"/>
      <c r="G96" s="757"/>
      <c r="H96" s="269">
        <v>267.75</v>
      </c>
      <c r="I96" s="757">
        <v>375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10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55.32</v>
      </c>
      <c r="I98" s="757">
        <v>50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74.010000000000005</v>
      </c>
      <c r="I99" s="757">
        <v>85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/>
      <c r="D100" s="269"/>
      <c r="E100" s="757"/>
      <c r="F100" s="544"/>
      <c r="G100" s="757"/>
      <c r="H100" s="269">
        <v>57.46</v>
      </c>
      <c r="I100" s="757">
        <v>54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 t="s">
        <v>1922</v>
      </c>
      <c r="D101" s="269"/>
      <c r="E101" s="757"/>
      <c r="F101" s="544"/>
      <c r="G101" s="757"/>
      <c r="H101" s="269">
        <v>74.010000000000005</v>
      </c>
      <c r="I101" s="757">
        <v>85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150.81</v>
      </c>
      <c r="I103" s="757">
        <v>206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15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187.85</v>
      </c>
      <c r="I107" s="757">
        <v>262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2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3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374.93</v>
      </c>
      <c r="I114" s="757">
        <v>517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245.83</v>
      </c>
      <c r="I115" s="757">
        <v>344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12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2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57.12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/>
      <c r="D122" s="269"/>
      <c r="E122" s="757"/>
      <c r="F122" s="544"/>
      <c r="G122" s="757"/>
      <c r="H122" s="269">
        <v>56.13</v>
      </c>
      <c r="I122" s="757">
        <v>4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/>
      <c r="D123" s="269"/>
      <c r="E123" s="757"/>
      <c r="F123" s="544"/>
      <c r="G123" s="757"/>
      <c r="H123" s="269">
        <v>39.299999999999997</v>
      </c>
      <c r="I123" s="757">
        <v>20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12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/>
      <c r="D126" s="269"/>
      <c r="E126" s="757"/>
      <c r="F126" s="544"/>
      <c r="G126" s="757"/>
      <c r="H126" s="269">
        <v>46.78</v>
      </c>
      <c r="I126" s="757">
        <v>34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 t="s">
        <v>1919</v>
      </c>
      <c r="D127" s="269"/>
      <c r="E127" s="757"/>
      <c r="F127" s="544"/>
      <c r="G127" s="757"/>
      <c r="H127" s="269">
        <v>214.01</v>
      </c>
      <c r="I127" s="757">
        <v>299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 t="s">
        <v>1886</v>
      </c>
      <c r="D128" s="269"/>
      <c r="E128" s="757"/>
      <c r="F128" s="544"/>
      <c r="G128" s="757"/>
      <c r="H128" s="269">
        <v>2358.5700000000002</v>
      </c>
      <c r="I128" s="757">
        <v>3110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266.48</v>
      </c>
      <c r="I129" s="757">
        <v>348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3070.79</v>
      </c>
      <c r="I130" s="757">
        <v>4041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9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 t="s">
        <v>1886</v>
      </c>
      <c r="D134" s="269"/>
      <c r="E134" s="757"/>
      <c r="F134" s="544"/>
      <c r="G134" s="757"/>
      <c r="H134" s="269">
        <v>490.44</v>
      </c>
      <c r="I134" s="757">
        <v>668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493.5</v>
      </c>
      <c r="I135" s="757">
        <v>672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 t="s">
        <v>1886</v>
      </c>
      <c r="D136" s="269"/>
      <c r="E136" s="757"/>
      <c r="F136" s="544"/>
      <c r="G136" s="757"/>
      <c r="H136" s="269">
        <v>496.56</v>
      </c>
      <c r="I136" s="757">
        <v>676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 t="s">
        <v>1919</v>
      </c>
      <c r="D138" s="269"/>
      <c r="E138" s="757"/>
      <c r="F138" s="544"/>
      <c r="G138" s="757"/>
      <c r="H138" s="269">
        <v>70</v>
      </c>
      <c r="I138" s="757">
        <v>500</v>
      </c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1918</v>
      </c>
      <c r="D142" s="269"/>
      <c r="E142" s="757"/>
      <c r="F142" s="544"/>
      <c r="G142" s="757"/>
      <c r="H142" s="269">
        <v>35</v>
      </c>
      <c r="I142" s="757">
        <v>2000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1888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91"/>
      <c r="B4" s="992"/>
      <c r="C4" s="992"/>
      <c r="D4" s="992"/>
      <c r="E4" s="992"/>
      <c r="F4" s="992"/>
      <c r="G4" s="99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266602</v>
      </c>
      <c r="D13" s="34"/>
      <c r="E13" s="35" t="s">
        <v>33</v>
      </c>
      <c r="F13" s="34"/>
      <c r="G13" s="42">
        <v>24051.69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1101</v>
      </c>
      <c r="D15" s="34"/>
      <c r="E15" s="35" t="s">
        <v>10</v>
      </c>
      <c r="F15" s="34"/>
      <c r="G15" s="42">
        <v>1736.17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19521</v>
      </c>
      <c r="D17" s="34"/>
      <c r="E17" s="35" t="s">
        <v>278</v>
      </c>
      <c r="F17" s="34"/>
      <c r="G17" s="42">
        <v>8813.5499999999993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1" topLeftCell="A125" activePane="bottomLeft" state="frozen"/>
      <selection pane="bottomLeft" activeCell="K108" sqref="K10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1872</v>
      </c>
      <c r="D3" s="328"/>
      <c r="E3" s="763"/>
      <c r="F3" s="620">
        <v>754.85</v>
      </c>
      <c r="G3" s="763">
        <v>869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1877</v>
      </c>
      <c r="D4" s="269"/>
      <c r="E4" s="757"/>
      <c r="F4" s="544">
        <v>67.510000000000005</v>
      </c>
      <c r="G4" s="757">
        <v>12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1875</v>
      </c>
      <c r="D5" s="328"/>
      <c r="E5" s="763"/>
      <c r="F5" s="620">
        <v>69.12</v>
      </c>
      <c r="G5" s="763">
        <v>14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1880</v>
      </c>
      <c r="D6" s="269"/>
      <c r="E6" s="757"/>
      <c r="F6" s="544">
        <v>71.52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1874</v>
      </c>
      <c r="D7" s="269"/>
      <c r="E7" s="757"/>
      <c r="F7" s="544">
        <v>66.260000000000005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89" t="s">
        <v>1879</v>
      </c>
      <c r="D9" s="269"/>
      <c r="E9" s="757"/>
      <c r="F9" s="544">
        <v>69.12</v>
      </c>
      <c r="G9" s="757">
        <v>14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89" t="s">
        <v>1879</v>
      </c>
      <c r="D10" s="269"/>
      <c r="E10" s="757"/>
      <c r="F10" s="544">
        <v>104.4</v>
      </c>
      <c r="G10" s="757">
        <v>58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1879</v>
      </c>
      <c r="D11" s="269"/>
      <c r="E11" s="757"/>
      <c r="F11" s="544">
        <v>62.68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1874</v>
      </c>
      <c r="D12" s="269"/>
      <c r="E12" s="757"/>
      <c r="F12" s="544">
        <v>71.459999999999994</v>
      </c>
      <c r="G12" s="757">
        <v>11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1876</v>
      </c>
      <c r="D13" s="269"/>
      <c r="E13" s="757"/>
      <c r="F13" s="544">
        <v>57.9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1878</v>
      </c>
      <c r="D14" s="269"/>
      <c r="E14" s="757"/>
      <c r="F14" s="544">
        <v>58.7</v>
      </c>
      <c r="G14" s="757">
        <v>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1880</v>
      </c>
      <c r="D15" s="269"/>
      <c r="E15" s="757"/>
      <c r="F15" s="544">
        <v>65.11</v>
      </c>
      <c r="G15" s="757">
        <v>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89" t="s">
        <v>1884</v>
      </c>
      <c r="D16" s="269"/>
      <c r="E16" s="757"/>
      <c r="F16" s="544">
        <v>110.02</v>
      </c>
      <c r="G16" s="757">
        <v>65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1882</v>
      </c>
      <c r="D17" s="269"/>
      <c r="E17" s="757"/>
      <c r="F17" s="544">
        <v>49.62</v>
      </c>
      <c r="G17" s="757">
        <v>27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1882</v>
      </c>
      <c r="D18" s="269"/>
      <c r="E18" s="757"/>
      <c r="F18" s="544">
        <v>57.9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144.31</v>
      </c>
      <c r="E20" s="547">
        <f>1609+5</f>
        <v>1614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146.62</v>
      </c>
      <c r="E22" s="547">
        <v>1975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18.260000000000002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74.48</v>
      </c>
      <c r="E24" s="547">
        <v>925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948.31</v>
      </c>
      <c r="E25" s="547">
        <f>11880+46</f>
        <v>11926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14.18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123.76</v>
      </c>
      <c r="E27" s="547">
        <v>1614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18.63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17.399999999999999</v>
      </c>
      <c r="E29" s="547">
        <v>127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290.44</v>
      </c>
      <c r="E30" s="547">
        <f>3163+14</f>
        <v>3177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709.07</v>
      </c>
      <c r="E31" s="547">
        <f>9960+32</f>
        <v>9992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18.63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23.28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638.92999999999995</v>
      </c>
      <c r="E34" s="547">
        <f>8506+28</f>
        <v>8534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11.4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37.42</v>
      </c>
      <c r="E36" s="547">
        <v>407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16.45</v>
      </c>
      <c r="E37" s="547">
        <v>114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4476.13</v>
      </c>
      <c r="E38" s="547">
        <f>81700+155</f>
        <v>81855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28.76</v>
      </c>
      <c r="E39" s="547">
        <v>286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175.34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21.08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18.63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14.18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1522.75</v>
      </c>
      <c r="E44" s="547">
        <f>21540+73</f>
        <v>21613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11.4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9.94</v>
      </c>
      <c r="E46" s="547">
        <v>23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112.52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37.479999999999997</v>
      </c>
      <c r="E49" s="547">
        <v>408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337.32</v>
      </c>
      <c r="E50" s="547">
        <f>3386+18</f>
        <v>3404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8.93</v>
      </c>
      <c r="E51" s="547">
        <v>9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402.11</v>
      </c>
      <c r="E52" s="547">
        <f>5465+17</f>
        <v>5482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184.25</v>
      </c>
      <c r="E53" s="547">
        <v>2323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29.37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1237.8900000000001</v>
      </c>
      <c r="E55" s="547">
        <f>17820+60</f>
        <v>17880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16.059999999999999</v>
      </c>
      <c r="E56" s="547">
        <v>113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63.12</v>
      </c>
      <c r="E57" s="547">
        <v>78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1305.99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472.45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22.89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330.55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180.96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883.44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76.47</v>
      </c>
      <c r="E65" s="547">
        <v>450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503.48</v>
      </c>
      <c r="E66" s="547">
        <f>7063+12</f>
        <v>7075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355.08</v>
      </c>
      <c r="E67" s="547">
        <f>1680+22</f>
        <v>1702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279.99</v>
      </c>
      <c r="E68" s="547">
        <f>2969+13</f>
        <v>2982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1881</v>
      </c>
      <c r="D70" s="269">
        <v>360</v>
      </c>
      <c r="E70" s="757">
        <v>2939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131</v>
      </c>
      <c r="E71" s="757">
        <v>671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111</v>
      </c>
      <c r="E72" s="757">
        <v>488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50</v>
      </c>
      <c r="E73" s="757">
        <v>114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283</v>
      </c>
      <c r="E75" s="757">
        <v>2053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195</v>
      </c>
      <c r="E76" s="757">
        <v>1500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62</v>
      </c>
      <c r="E77" s="757">
        <v>227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99</v>
      </c>
      <c r="E78" s="757">
        <v>376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46</v>
      </c>
      <c r="E80" s="757">
        <v>81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75</v>
      </c>
      <c r="E81" s="757">
        <v>159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1780</v>
      </c>
      <c r="E83" s="757">
        <v>17040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41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480</v>
      </c>
      <c r="E88" s="757">
        <v>3172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270</v>
      </c>
      <c r="E89" s="757">
        <v>1860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240</v>
      </c>
      <c r="E91" s="757">
        <v>1231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76</v>
      </c>
      <c r="E92" s="757">
        <v>167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116</v>
      </c>
      <c r="E93" s="757">
        <v>518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105</v>
      </c>
      <c r="E94" s="757">
        <v>616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2349</v>
      </c>
      <c r="E95" s="757">
        <v>22680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264</v>
      </c>
      <c r="E96" s="757">
        <v>1879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149.52000000000001</v>
      </c>
      <c r="I98" s="757">
        <v>204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267.04000000000002</v>
      </c>
      <c r="I99" s="757">
        <v>374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39.83</v>
      </c>
      <c r="I100" s="757">
        <v>21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55.85</v>
      </c>
      <c r="I101" s="757">
        <v>51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122.91</v>
      </c>
      <c r="I102" s="757">
        <v>163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61.19</v>
      </c>
      <c r="I103" s="757">
        <v>61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1881</v>
      </c>
      <c r="D104" s="269"/>
      <c r="E104" s="757"/>
      <c r="F104" s="544"/>
      <c r="G104" s="757"/>
      <c r="H104" s="269">
        <v>413.18</v>
      </c>
      <c r="I104" s="757">
        <v>567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186.44</v>
      </c>
      <c r="I106" s="757">
        <v>260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50.51</v>
      </c>
      <c r="I107" s="757">
        <v>41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7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39.299999999999997</v>
      </c>
      <c r="I117" s="757">
        <v>2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230.98</v>
      </c>
      <c r="I118" s="757">
        <v>323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56.13</v>
      </c>
      <c r="I125" s="757">
        <v>7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 t="s">
        <v>1881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17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1871</v>
      </c>
      <c r="D129" s="269"/>
      <c r="E129" s="757"/>
      <c r="F129" s="544"/>
      <c r="G129" s="757"/>
      <c r="H129" s="269">
        <v>100.19</v>
      </c>
      <c r="I129" s="757">
        <v>128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1881</v>
      </c>
      <c r="D130" s="269"/>
      <c r="E130" s="757"/>
      <c r="F130" s="544"/>
      <c r="G130" s="757"/>
      <c r="H130" s="269">
        <v>189.27</v>
      </c>
      <c r="I130" s="757">
        <v>264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1871</v>
      </c>
      <c r="D131" s="269"/>
      <c r="E131" s="757"/>
      <c r="F131" s="544"/>
      <c r="G131" s="757"/>
      <c r="H131" s="269">
        <v>1408.44</v>
      </c>
      <c r="I131" s="757">
        <v>1868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1871</v>
      </c>
      <c r="D132" s="269"/>
      <c r="E132" s="757"/>
      <c r="F132" s="544"/>
      <c r="G132" s="757"/>
      <c r="H132" s="269">
        <v>39.299999999999997</v>
      </c>
      <c r="I132" s="757">
        <v>4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1871</v>
      </c>
      <c r="D133" s="269"/>
      <c r="E133" s="757"/>
      <c r="F133" s="544"/>
      <c r="G133" s="757"/>
      <c r="H133" s="269">
        <v>3247.5</v>
      </c>
      <c r="I133" s="757">
        <v>4272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1871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1871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45" t="s">
        <v>1871</v>
      </c>
      <c r="D136" s="269"/>
      <c r="E136" s="757"/>
      <c r="F136" s="544"/>
      <c r="G136" s="757"/>
      <c r="H136" s="269">
        <v>39.299999999999997</v>
      </c>
      <c r="I136" s="757">
        <v>12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1871</v>
      </c>
      <c r="D137" s="269"/>
      <c r="E137" s="757"/>
      <c r="F137" s="544"/>
      <c r="G137" s="757"/>
      <c r="H137" s="269">
        <v>394.82</v>
      </c>
      <c r="I137" s="757">
        <v>543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1871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1871</v>
      </c>
      <c r="D139" s="269"/>
      <c r="E139" s="757"/>
      <c r="F139" s="544"/>
      <c r="G139" s="757"/>
      <c r="H139" s="269">
        <v>428.48</v>
      </c>
      <c r="I139" s="757">
        <v>587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1885</v>
      </c>
      <c r="D142" s="269"/>
      <c r="E142" s="757"/>
      <c r="F142" s="544"/>
      <c r="G142" s="757"/>
      <c r="H142" s="269">
        <v>68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1883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1887</v>
      </c>
      <c r="D148" s="269"/>
      <c r="E148" s="757"/>
      <c r="F148" s="544"/>
      <c r="G148" s="757"/>
      <c r="H148" s="269">
        <v>11.56</v>
      </c>
      <c r="I148" s="757">
        <v>8830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K10" sqref="K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1873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88"/>
      <c r="B4" s="989"/>
      <c r="C4" s="989"/>
      <c r="D4" s="989"/>
      <c r="E4" s="989"/>
      <c r="F4" s="989"/>
      <c r="G4" s="99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272402</v>
      </c>
      <c r="D13" s="34"/>
      <c r="E13" s="35" t="s">
        <v>33</v>
      </c>
      <c r="F13" s="34"/>
      <c r="G13" s="42">
        <v>24128.33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1455</v>
      </c>
      <c r="D15" s="34"/>
      <c r="E15" s="35" t="s">
        <v>10</v>
      </c>
      <c r="F15" s="34"/>
      <c r="G15" s="42">
        <v>1956.15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11710</v>
      </c>
      <c r="D17" s="34"/>
      <c r="E17" s="35" t="s">
        <v>278</v>
      </c>
      <c r="F17" s="34"/>
      <c r="G17" s="42">
        <v>8950.27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0" activePane="bottomLeft" state="frozen"/>
      <selection pane="bottomLeft" activeCell="F131" sqref="F13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1858</v>
      </c>
      <c r="D3" s="328"/>
      <c r="E3" s="763"/>
      <c r="F3" s="620">
        <v>987.17</v>
      </c>
      <c r="G3" s="763">
        <v>1224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1861</v>
      </c>
      <c r="D4" s="269"/>
      <c r="E4" s="757"/>
      <c r="F4" s="544">
        <v>72.31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1857</v>
      </c>
      <c r="D5" s="328"/>
      <c r="E5" s="763"/>
      <c r="F5" s="620">
        <v>66.239999999999995</v>
      </c>
      <c r="G5" s="763">
        <v>11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89" t="s">
        <v>1862</v>
      </c>
      <c r="D6" s="269"/>
      <c r="E6" s="757"/>
      <c r="F6" s="544">
        <v>70.790000000000006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1865</v>
      </c>
      <c r="D7" s="269"/>
      <c r="E7" s="757"/>
      <c r="F7" s="544">
        <v>67.510000000000005</v>
      </c>
      <c r="G7" s="757">
        <v>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45" t="s">
        <v>1863</v>
      </c>
      <c r="D9" s="269"/>
      <c r="E9" s="757"/>
      <c r="F9" s="544">
        <v>67.010000000000005</v>
      </c>
      <c r="G9" s="757">
        <v>12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1863</v>
      </c>
      <c r="D10" s="269"/>
      <c r="E10" s="757"/>
      <c r="F10" s="544">
        <v>92.06</v>
      </c>
      <c r="G10" s="757">
        <v>45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1863</v>
      </c>
      <c r="D11" s="269"/>
      <c r="E11" s="757"/>
      <c r="F11" s="544">
        <v>65.12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1859</v>
      </c>
      <c r="D12" s="269"/>
      <c r="E12" s="757"/>
      <c r="F12" s="544">
        <v>68.91</v>
      </c>
      <c r="G12" s="757">
        <v>8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1860</v>
      </c>
      <c r="D13" s="269"/>
      <c r="E13" s="757"/>
      <c r="F13" s="544">
        <v>57.9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1864</v>
      </c>
      <c r="D14" s="269"/>
      <c r="E14" s="757"/>
      <c r="F14" s="544">
        <v>66.239999999999995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1862</v>
      </c>
      <c r="D15" s="269"/>
      <c r="E15" s="757"/>
      <c r="F15" s="544">
        <v>64.73</v>
      </c>
      <c r="G15" s="757">
        <v>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1861</v>
      </c>
      <c r="D16" s="269"/>
      <c r="E16" s="757"/>
      <c r="F16" s="544">
        <v>114.07</v>
      </c>
      <c r="G16" s="757">
        <v>74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1869</v>
      </c>
      <c r="D17" s="269"/>
      <c r="E17" s="757"/>
      <c r="F17" s="544">
        <v>38.19</v>
      </c>
      <c r="G17" s="757">
        <v>16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1869</v>
      </c>
      <c r="D18" s="269"/>
      <c r="E18" s="757"/>
      <c r="F18" s="544">
        <v>57.9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130.99</v>
      </c>
      <c r="E20" s="547">
        <f>1313+5</f>
        <v>1318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177.31</v>
      </c>
      <c r="E22" s="547">
        <v>2498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70.63</v>
      </c>
      <c r="E24" s="547">
        <v>902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933.3</v>
      </c>
      <c r="E25" s="547">
        <f>11400+49</f>
        <v>11449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117.4</v>
      </c>
      <c r="E27" s="547">
        <v>1579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18.39</v>
      </c>
      <c r="E29" s="547">
        <v>146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255.5</v>
      </c>
      <c r="E30" s="547">
        <f>2930+12</f>
        <v>2942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681.36</v>
      </c>
      <c r="E31" s="547">
        <f>9720+32</f>
        <v>9752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548.77</v>
      </c>
      <c r="E34" s="547">
        <f>7558+24</f>
        <v>7582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89.71</v>
      </c>
      <c r="E36" s="547">
        <v>1178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16.87</v>
      </c>
      <c r="E37" s="547">
        <v>124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4449.1400000000003</v>
      </c>
      <c r="E38" s="547">
        <f>82000+161</f>
        <v>82161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</v>
      </c>
      <c r="E39" s="547">
        <v>285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169.84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1356.13</v>
      </c>
      <c r="E44" s="547">
        <f>19380+68</f>
        <v>19448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10.1</v>
      </c>
      <c r="E46" s="547">
        <v>26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38.700000000000003</v>
      </c>
      <c r="E49" s="547">
        <v>440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306.48</v>
      </c>
      <c r="E50" s="547">
        <f>3080+17</f>
        <v>3097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8.7100000000000009</v>
      </c>
      <c r="E51" s="547">
        <v>6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373</v>
      </c>
      <c r="E52" s="547">
        <f>4936+17</f>
        <v>4953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176.64</v>
      </c>
      <c r="E53" s="547">
        <v>2437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29.01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1162.25</v>
      </c>
      <c r="E55" s="547">
        <f>16920+59</f>
        <v>16979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22.29</v>
      </c>
      <c r="E56" s="547">
        <v>209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119.93</v>
      </c>
      <c r="E57" s="547">
        <f>421+7</f>
        <v>428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1263.98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325.02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96.05</v>
      </c>
      <c r="E65" s="547">
        <v>1030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703.88</v>
      </c>
      <c r="E66" s="547">
        <f>11327+26</f>
        <v>11353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333.34</v>
      </c>
      <c r="E67" s="547">
        <f>1440+22</f>
        <v>1462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254.6</v>
      </c>
      <c r="E68" s="547">
        <f>2488+13</f>
        <v>2501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374</v>
      </c>
      <c r="E70" s="757">
        <v>3064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134</v>
      </c>
      <c r="E71" s="757">
        <v>702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99</v>
      </c>
      <c r="E72" s="757">
        <v>374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55</v>
      </c>
      <c r="E73" s="757">
        <v>163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276</v>
      </c>
      <c r="E75" s="757">
        <v>1990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168</v>
      </c>
      <c r="E76" s="757">
        <v>1255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63</v>
      </c>
      <c r="E77" s="757">
        <v>233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87</v>
      </c>
      <c r="E78" s="757">
        <v>266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42</v>
      </c>
      <c r="E80" s="757">
        <v>45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76</v>
      </c>
      <c r="E81" s="757">
        <v>167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1862</v>
      </c>
      <c r="E83" s="757">
        <v>18480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41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612</v>
      </c>
      <c r="E88" s="757">
        <v>4491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283</v>
      </c>
      <c r="E89" s="757">
        <v>1789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244</v>
      </c>
      <c r="E91" s="757">
        <v>1267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74</v>
      </c>
      <c r="E92" s="757">
        <v>149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124</v>
      </c>
      <c r="E93" s="757">
        <v>592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115</v>
      </c>
      <c r="E94" s="757">
        <v>710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2483</v>
      </c>
      <c r="E95" s="757">
        <v>25440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299</v>
      </c>
      <c r="E96" s="757">
        <f>956+1242</f>
        <v>2198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89" t="s">
        <v>1868</v>
      </c>
      <c r="D98" s="269"/>
      <c r="E98" s="757"/>
      <c r="F98" s="544"/>
      <c r="G98" s="757"/>
      <c r="H98" s="269">
        <v>123.56</v>
      </c>
      <c r="I98" s="757">
        <v>164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1868</v>
      </c>
      <c r="D99" s="269"/>
      <c r="E99" s="757"/>
      <c r="F99" s="544"/>
      <c r="G99" s="757"/>
      <c r="H99" s="269">
        <v>244.41</v>
      </c>
      <c r="I99" s="757">
        <v>342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53.72</v>
      </c>
      <c r="I100" s="757">
        <v>47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53.18</v>
      </c>
      <c r="I101" s="757">
        <v>46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94.35</v>
      </c>
      <c r="I102" s="757">
        <v>119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20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1868</v>
      </c>
      <c r="D104" s="269"/>
      <c r="E104" s="757"/>
      <c r="F104" s="544"/>
      <c r="G104" s="757"/>
      <c r="H104" s="269">
        <v>79.349999999999994</v>
      </c>
      <c r="I104" s="757">
        <v>95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2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174.18</v>
      </c>
      <c r="I106" s="757">
        <v>242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70.27</v>
      </c>
      <c r="I107" s="757">
        <v>78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10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319.85000000000002</v>
      </c>
      <c r="I117" s="757">
        <v>445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583.01</v>
      </c>
      <c r="I118" s="757">
        <v>789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18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46.78</v>
      </c>
      <c r="I120" s="757">
        <v>34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1868</v>
      </c>
      <c r="D123" s="269"/>
      <c r="E123" s="757"/>
      <c r="F123" s="544"/>
      <c r="G123" s="757"/>
      <c r="H123" s="269">
        <v>39.299999999999997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89" t="s">
        <v>1868</v>
      </c>
      <c r="D125" s="269" t="s">
        <v>383</v>
      </c>
      <c r="E125" s="757"/>
      <c r="F125" s="544"/>
      <c r="G125" s="757"/>
      <c r="H125" s="269">
        <v>56.13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1868</v>
      </c>
      <c r="D126" s="269"/>
      <c r="E126" s="757"/>
      <c r="F126" s="544"/>
      <c r="G126" s="757"/>
      <c r="H126" s="269">
        <v>51.58</v>
      </c>
      <c r="I126" s="757">
        <v>43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89" t="s">
        <v>1868</v>
      </c>
      <c r="D127" s="269"/>
      <c r="E127" s="757"/>
      <c r="F127" s="544"/>
      <c r="G127" s="757"/>
      <c r="H127" s="269">
        <v>39.299999999999997</v>
      </c>
      <c r="I127" s="757">
        <v>15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1868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1856</v>
      </c>
      <c r="D129" s="269"/>
      <c r="E129" s="757"/>
      <c r="F129" s="544"/>
      <c r="G129" s="757"/>
      <c r="H129" s="269">
        <v>49.98</v>
      </c>
      <c r="I129" s="757">
        <v>40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1868</v>
      </c>
      <c r="D130" s="269"/>
      <c r="E130" s="757"/>
      <c r="F130" s="544"/>
      <c r="G130" s="757"/>
      <c r="H130" s="269">
        <v>147.57</v>
      </c>
      <c r="I130" s="757">
        <v>201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1856</v>
      </c>
      <c r="D131" s="269"/>
      <c r="E131" s="757"/>
      <c r="F131" s="544"/>
      <c r="G131" s="757"/>
      <c r="H131" s="269">
        <v>1807.01</v>
      </c>
      <c r="I131" s="757">
        <v>2389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1856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1856</v>
      </c>
      <c r="D133" s="269"/>
      <c r="E133" s="757"/>
      <c r="F133" s="544"/>
      <c r="G133" s="757"/>
      <c r="H133" s="269">
        <v>3292.64</v>
      </c>
      <c r="I133" s="757">
        <v>4331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1856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1856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1856</v>
      </c>
      <c r="D136" s="269"/>
      <c r="E136" s="757"/>
      <c r="F136" s="544"/>
      <c r="G136" s="757"/>
      <c r="H136" s="269">
        <v>39.299999999999997</v>
      </c>
      <c r="I136" s="757">
        <v>8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1855</v>
      </c>
      <c r="D137" s="269"/>
      <c r="E137" s="757"/>
      <c r="F137" s="544"/>
      <c r="G137" s="757"/>
      <c r="H137" s="269">
        <v>252.19</v>
      </c>
      <c r="I137" s="757">
        <v>353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1855</v>
      </c>
      <c r="D138" s="269"/>
      <c r="E138" s="757"/>
      <c r="F138" s="544"/>
      <c r="G138" s="757"/>
      <c r="H138" s="269">
        <v>199.87</v>
      </c>
      <c r="I138" s="757">
        <v>279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363" t="s">
        <v>1855</v>
      </c>
      <c r="D139" s="269"/>
      <c r="E139" s="757"/>
      <c r="F139" s="544"/>
      <c r="G139" s="757"/>
      <c r="H139" s="269">
        <v>267.04000000000002</v>
      </c>
      <c r="I139" s="757">
        <v>374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1870</v>
      </c>
      <c r="D142" s="269"/>
      <c r="E142" s="757"/>
      <c r="F142" s="544"/>
      <c r="G142" s="757"/>
      <c r="H142" s="269">
        <v>84</v>
      </c>
      <c r="I142" s="757">
        <v>1200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1866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J20" sqref="J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1867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85"/>
      <c r="B4" s="986"/>
      <c r="C4" s="986"/>
      <c r="D4" s="986"/>
      <c r="E4" s="986"/>
      <c r="F4" s="986"/>
      <c r="G4" s="98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294010</v>
      </c>
      <c r="D13" s="34"/>
      <c r="E13" s="35" t="s">
        <v>33</v>
      </c>
      <c r="F13" s="34"/>
      <c r="G13" s="42">
        <v>26231.01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1676</v>
      </c>
      <c r="D15" s="34"/>
      <c r="E15" s="35" t="s">
        <v>10</v>
      </c>
      <c r="F15" s="34"/>
      <c r="G15" s="42">
        <v>2014.07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381776</v>
      </c>
      <c r="D17" s="34"/>
      <c r="E17" s="35" t="s">
        <v>278</v>
      </c>
      <c r="F17" s="34"/>
      <c r="G17" s="42">
        <v>8191.7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11" activePane="bottomLeft" state="frozen"/>
      <selection pane="bottomLeft" activeCell="I125" sqref="I12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1850</v>
      </c>
      <c r="D3" s="328"/>
      <c r="E3" s="763"/>
      <c r="F3" s="620">
        <v>1026.17</v>
      </c>
      <c r="G3" s="763">
        <v>1313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1846</v>
      </c>
      <c r="D4" s="269"/>
      <c r="E4" s="757"/>
      <c r="F4" s="544">
        <v>70.44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1843</v>
      </c>
      <c r="D5" s="328"/>
      <c r="E5" s="763"/>
      <c r="F5" s="620">
        <v>73.39</v>
      </c>
      <c r="G5" s="763">
        <v>21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1844</v>
      </c>
      <c r="D6" s="269"/>
      <c r="E6" s="757"/>
      <c r="F6" s="544">
        <v>36.64</v>
      </c>
      <c r="G6" s="757">
        <v>52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1849</v>
      </c>
      <c r="D7" s="269"/>
      <c r="E7" s="757"/>
      <c r="F7" s="544">
        <v>59.56</v>
      </c>
      <c r="G7" s="757">
        <v>14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89" t="s">
        <v>1847</v>
      </c>
      <c r="D9" s="269"/>
      <c r="E9" s="757"/>
      <c r="F9" s="544">
        <v>81.5</v>
      </c>
      <c r="G9" s="757">
        <v>32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1847</v>
      </c>
      <c r="D10" s="269"/>
      <c r="E10" s="757"/>
      <c r="F10" s="544">
        <v>113.21</v>
      </c>
      <c r="G10" s="757">
        <v>75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1847</v>
      </c>
      <c r="D11" s="269"/>
      <c r="E11" s="757"/>
      <c r="F11" s="544">
        <v>65.069999999999993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1845</v>
      </c>
      <c r="D12" s="269"/>
      <c r="E12" s="757"/>
      <c r="F12" s="544">
        <v>76.25</v>
      </c>
      <c r="G12" s="757">
        <v>19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1848</v>
      </c>
      <c r="D13" s="269"/>
      <c r="E13" s="757"/>
      <c r="F13" s="544">
        <v>57.91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1848</v>
      </c>
      <c r="D14" s="269"/>
      <c r="E14" s="757"/>
      <c r="F14" s="544">
        <v>61.6</v>
      </c>
      <c r="G14" s="757">
        <v>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1844</v>
      </c>
      <c r="D15" s="269"/>
      <c r="E15" s="757"/>
      <c r="F15" s="544">
        <v>68.22</v>
      </c>
      <c r="G15" s="757">
        <v>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89" t="s">
        <v>1848</v>
      </c>
      <c r="D16" s="269"/>
      <c r="E16" s="757"/>
      <c r="F16" s="544">
        <v>115.42</v>
      </c>
      <c r="G16" s="757">
        <v>78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1851</v>
      </c>
      <c r="D17" s="269"/>
      <c r="E17" s="757"/>
      <c r="F17" s="544">
        <v>54.48</v>
      </c>
      <c r="G17" s="757">
        <v>33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54.21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201.06</v>
      </c>
      <c r="E20" s="547">
        <f>1780+11</f>
        <v>1791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223.69</v>
      </c>
      <c r="E22" s="547">
        <v>3183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66.34</v>
      </c>
      <c r="E24" s="547">
        <v>840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950.64</v>
      </c>
      <c r="E25" s="547">
        <f>12160+48</f>
        <v>12208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95.43</v>
      </c>
      <c r="E27" s="547">
        <v>1261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18.05</v>
      </c>
      <c r="E29" s="547">
        <v>141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284.77</v>
      </c>
      <c r="E30" s="547">
        <f>3238+14</f>
        <v>3252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693.22</v>
      </c>
      <c r="E31" s="547">
        <f>10560+30</f>
        <v>10590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575.52</v>
      </c>
      <c r="E34" s="547">
        <f>7478+27</f>
        <v>7505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100.97</v>
      </c>
      <c r="E36" s="547">
        <f>1341+12</f>
        <v>1353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17.079999999999998</v>
      </c>
      <c r="E37" s="547">
        <v>127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5035.99</v>
      </c>
      <c r="E38" s="547">
        <f>94300+177</f>
        <v>94477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28.83</v>
      </c>
      <c r="E39" s="547">
        <v>297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325.52</v>
      </c>
      <c r="E40" s="547">
        <v>330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1329.33</v>
      </c>
      <c r="E44" s="547">
        <f>20160+62</f>
        <v>20222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9.81</v>
      </c>
      <c r="E46" s="547">
        <v>22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109.43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35.53</v>
      </c>
      <c r="E49" s="547">
        <v>394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313.20999999999998</v>
      </c>
      <c r="E50" s="547">
        <f>3268+17</f>
        <v>3285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8.98</v>
      </c>
      <c r="E51" s="547">
        <v>10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414.24</v>
      </c>
      <c r="E52" s="547">
        <f>60.87+17</f>
        <v>77.87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178.42</v>
      </c>
      <c r="E53" s="547">
        <v>2462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29.01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1177.05</v>
      </c>
      <c r="E55" s="547">
        <f>18360+55</f>
        <v>18415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62.58</v>
      </c>
      <c r="E56" s="547">
        <v>804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108.61</v>
      </c>
      <c r="E57" s="547">
        <v>1452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1263.98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325.02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399.47</v>
      </c>
      <c r="E65" s="547">
        <f>5661+31</f>
        <v>5692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1004.64</v>
      </c>
      <c r="E66" s="547">
        <f>17467+37</f>
        <v>17504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339.08</v>
      </c>
      <c r="E67" s="547">
        <f>1600+22</f>
        <v>1622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254.04</v>
      </c>
      <c r="E68" s="547">
        <f>2472+13</f>
        <v>2485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346</v>
      </c>
      <c r="E70" s="757">
        <v>2811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153</v>
      </c>
      <c r="E71" s="757">
        <v>872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122</v>
      </c>
      <c r="E72" s="757">
        <v>592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57</v>
      </c>
      <c r="E73" s="757">
        <v>181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268</v>
      </c>
      <c r="E75" s="757">
        <v>1921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138</v>
      </c>
      <c r="E76" s="757">
        <v>980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63</v>
      </c>
      <c r="E77" s="757">
        <v>234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81</v>
      </c>
      <c r="E78" s="757">
        <v>217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45</v>
      </c>
      <c r="E80" s="757">
        <v>65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74.88</v>
      </c>
      <c r="E81" s="757">
        <v>163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2335</v>
      </c>
      <c r="E83" s="757">
        <v>17400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3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56</v>
      </c>
      <c r="E87" s="757">
        <v>134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1039</v>
      </c>
      <c r="E88" s="757">
        <v>8100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270</v>
      </c>
      <c r="E89" s="757">
        <v>1680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225</v>
      </c>
      <c r="E91" s="757">
        <v>1090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74</v>
      </c>
      <c r="E92" s="757">
        <v>151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112</v>
      </c>
      <c r="E93" s="757">
        <v>477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112</v>
      </c>
      <c r="E94" s="757">
        <v>683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2152</v>
      </c>
      <c r="E95" s="757">
        <v>19920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287</v>
      </c>
      <c r="E96" s="757">
        <v>2089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126.8</v>
      </c>
      <c r="I98" s="757">
        <v>169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204.82</v>
      </c>
      <c r="I99" s="757">
        <v>286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53.72</v>
      </c>
      <c r="I100" s="757">
        <v>47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48.38</v>
      </c>
      <c r="I101" s="757">
        <v>37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64.930000000000007</v>
      </c>
      <c r="I102" s="757">
        <v>68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14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52.12</v>
      </c>
      <c r="I104" s="757">
        <v>44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1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131.99</v>
      </c>
      <c r="I106" s="757">
        <v>177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70.27</v>
      </c>
      <c r="I107" s="757">
        <v>78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39.83</v>
      </c>
      <c r="I111" s="757">
        <v>21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2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1155.99</v>
      </c>
      <c r="I117" s="757">
        <v>1538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706.17</v>
      </c>
      <c r="I118" s="757">
        <v>950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49.45</v>
      </c>
      <c r="I119" s="757">
        <v>39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20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50.51</v>
      </c>
      <c r="I121" s="757">
        <v>41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1853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1853</v>
      </c>
      <c r="D125" s="269"/>
      <c r="E125" s="757"/>
      <c r="F125" s="544"/>
      <c r="G125" s="757"/>
      <c r="H125" s="269">
        <v>56.13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>
        <v>49.98</v>
      </c>
      <c r="I126" s="757">
        <v>40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19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1841</v>
      </c>
      <c r="D129" s="269"/>
      <c r="E129" s="757"/>
      <c r="F129" s="544"/>
      <c r="G129" s="757"/>
      <c r="H129" s="269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>
        <v>152.76</v>
      </c>
      <c r="I130" s="757">
        <v>209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1841</v>
      </c>
      <c r="D131" s="269"/>
      <c r="E131" s="757"/>
      <c r="F131" s="544"/>
      <c r="G131" s="757"/>
      <c r="H131" s="269">
        <v>265.62</v>
      </c>
      <c r="I131" s="757">
        <v>372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1841</v>
      </c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1841</v>
      </c>
      <c r="D133" s="269"/>
      <c r="E133" s="757"/>
      <c r="F133" s="544"/>
      <c r="G133" s="757"/>
      <c r="H133" s="269">
        <v>2905.55</v>
      </c>
      <c r="I133" s="757">
        <v>3825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1841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1841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1841</v>
      </c>
      <c r="D136" s="269"/>
      <c r="E136" s="757"/>
      <c r="F136" s="544"/>
      <c r="G136" s="757"/>
      <c r="H136" s="269">
        <v>39.299999999999997</v>
      </c>
      <c r="I136" s="757">
        <v>13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1841</v>
      </c>
      <c r="D137" s="269"/>
      <c r="E137" s="757"/>
      <c r="F137" s="544"/>
      <c r="G137" s="757"/>
      <c r="H137" s="269">
        <v>301.49</v>
      </c>
      <c r="I137" s="757">
        <v>421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1841</v>
      </c>
      <c r="D138" s="269"/>
      <c r="E138" s="757"/>
      <c r="F138" s="544"/>
      <c r="G138" s="757"/>
      <c r="H138" s="269">
        <v>219.67</v>
      </c>
      <c r="I138" s="757">
        <v>307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1841</v>
      </c>
      <c r="D139" s="269"/>
      <c r="E139" s="757"/>
      <c r="F139" s="544"/>
      <c r="G139" s="757"/>
      <c r="H139" s="269">
        <v>329.03</v>
      </c>
      <c r="I139" s="757">
        <v>457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82</v>
      </c>
      <c r="I142" s="757">
        <v>1100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1854</v>
      </c>
      <c r="D148" s="269"/>
      <c r="E148" s="757"/>
      <c r="F148" s="544"/>
      <c r="G148" s="757"/>
      <c r="H148" s="269">
        <v>210.99</v>
      </c>
      <c r="I148" s="757">
        <v>371440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82"/>
      <c r="B4" s="983"/>
      <c r="C4" s="983"/>
      <c r="D4" s="983"/>
      <c r="E4" s="983"/>
      <c r="F4" s="983"/>
      <c r="G4" s="9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221501</v>
      </c>
      <c r="D13" s="34"/>
      <c r="E13" s="35" t="s">
        <v>33</v>
      </c>
      <c r="F13" s="34"/>
      <c r="G13" s="42">
        <v>21933.82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1435</v>
      </c>
      <c r="D15" s="34"/>
      <c r="E15" s="35" t="s">
        <v>10</v>
      </c>
      <c r="F15" s="34"/>
      <c r="G15" s="42">
        <v>1862.06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9016</v>
      </c>
      <c r="D17" s="34"/>
      <c r="E17" s="35" t="s">
        <v>278</v>
      </c>
      <c r="F17" s="34"/>
      <c r="G17" s="42">
        <v>5644.64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2218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69"/>
      <c r="B4" s="1070"/>
      <c r="C4" s="1070"/>
      <c r="D4" s="1070"/>
      <c r="E4" s="1070"/>
      <c r="F4" s="1070"/>
      <c r="G4" s="107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301218</v>
      </c>
      <c r="D13" s="34"/>
      <c r="E13" s="35" t="s">
        <v>33</v>
      </c>
      <c r="F13" s="34"/>
      <c r="G13" s="42">
        <v>28648.6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938</v>
      </c>
      <c r="D15" s="34"/>
      <c r="E15" s="35" t="s">
        <v>10</v>
      </c>
      <c r="F15" s="34"/>
      <c r="G15" s="42">
        <v>1813.18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142659</v>
      </c>
      <c r="D17" s="34"/>
      <c r="E17" s="35" t="s">
        <v>278</v>
      </c>
      <c r="F17" s="34"/>
      <c r="G17" s="42">
        <v>15390.26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9" activePane="bottomLeft" state="frozen"/>
      <selection pane="bottomLeft" activeCell="A144" sqref="A144:L144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1831</v>
      </c>
      <c r="D3" s="328"/>
      <c r="E3" s="763"/>
      <c r="F3" s="975">
        <v>813.82</v>
      </c>
      <c r="G3" s="763">
        <v>1071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1830</v>
      </c>
      <c r="D4" s="269"/>
      <c r="E4" s="757"/>
      <c r="F4" s="976">
        <v>78.36</v>
      </c>
      <c r="G4" s="757">
        <v>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1822</v>
      </c>
      <c r="D5" s="328"/>
      <c r="E5" s="763"/>
      <c r="F5" s="975">
        <v>66.38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1836</v>
      </c>
      <c r="D6" s="269"/>
      <c r="E6" s="757"/>
      <c r="F6" s="976">
        <v>116.49</v>
      </c>
      <c r="G6" s="757">
        <v>83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1834</v>
      </c>
      <c r="D7" s="269"/>
      <c r="E7" s="757"/>
      <c r="F7" s="976">
        <v>76.349999999999994</v>
      </c>
      <c r="G7" s="757">
        <v>20</v>
      </c>
      <c r="H7" s="269"/>
      <c r="I7" s="757"/>
      <c r="J7" s="245" t="s">
        <v>10</v>
      </c>
      <c r="K7" s="245"/>
      <c r="L7" s="245"/>
    </row>
    <row r="8" spans="1:36" s="184" customFormat="1" ht="18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45" t="s">
        <v>1833</v>
      </c>
      <c r="D9" s="269"/>
      <c r="E9" s="757"/>
      <c r="F9" s="976">
        <v>87.56</v>
      </c>
      <c r="G9" s="757">
        <v>42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89" t="s">
        <v>1832</v>
      </c>
      <c r="D10" s="269"/>
      <c r="E10" s="757"/>
      <c r="F10" s="976">
        <v>70.599999999999994</v>
      </c>
      <c r="G10" s="757">
        <v>18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1832</v>
      </c>
      <c r="D11" s="269"/>
      <c r="E11" s="757"/>
      <c r="F11" s="976">
        <v>65.73</v>
      </c>
      <c r="G11" s="757">
        <v>4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1831</v>
      </c>
      <c r="D12" s="269"/>
      <c r="E12" s="757"/>
      <c r="F12" s="976">
        <v>67.209999999999994</v>
      </c>
      <c r="G12" s="757">
        <v>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1830</v>
      </c>
      <c r="D13" s="269"/>
      <c r="E13" s="757"/>
      <c r="F13" s="976">
        <v>57.91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1830</v>
      </c>
      <c r="D14" s="269"/>
      <c r="E14" s="757"/>
      <c r="F14" s="976">
        <v>73.430000000000007</v>
      </c>
      <c r="G14" s="757">
        <v>22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1837</v>
      </c>
      <c r="D15" s="269"/>
      <c r="E15" s="757"/>
      <c r="F15" s="544">
        <v>63.55</v>
      </c>
      <c r="G15" s="757">
        <v>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1830</v>
      </c>
      <c r="D16" s="269"/>
      <c r="E16" s="757"/>
      <c r="F16" s="976">
        <v>132.71</v>
      </c>
      <c r="G16" s="757">
        <v>106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89" t="s">
        <v>1839</v>
      </c>
      <c r="D17" s="269"/>
      <c r="E17" s="757"/>
      <c r="F17" s="976">
        <v>30.36</v>
      </c>
      <c r="G17" s="757">
        <v>9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1838</v>
      </c>
      <c r="D18" s="269"/>
      <c r="E18" s="757"/>
      <c r="F18" s="976">
        <v>61.6</v>
      </c>
      <c r="G18" s="757">
        <v>5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197.12</v>
      </c>
      <c r="E20" s="547">
        <f>1687+11</f>
        <v>1698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53.89</v>
      </c>
      <c r="E22" s="547">
        <v>679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17.53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50.58</v>
      </c>
      <c r="E24" s="547">
        <v>615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792.84</v>
      </c>
      <c r="E25" s="547">
        <f>7840+48</f>
        <v>7888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13.78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75.95</v>
      </c>
      <c r="E27" s="547">
        <v>984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17.89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16.829999999999998</v>
      </c>
      <c r="E29" s="547">
        <v>124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228.8</v>
      </c>
      <c r="E30" s="547">
        <f>2206+12</f>
        <v>2218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618.26</v>
      </c>
      <c r="E31" s="547">
        <f>8520+30</f>
        <v>8550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17.89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22.48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426.38</v>
      </c>
      <c r="E34" s="547">
        <f>3910+25</f>
        <v>3935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11.04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95.18</v>
      </c>
      <c r="E36" s="547">
        <v>1264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17.170000000000002</v>
      </c>
      <c r="E37" s="547">
        <v>129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4005.93</v>
      </c>
      <c r="E38" s="547">
        <f>68900+165</f>
        <v>69065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23.35</v>
      </c>
      <c r="E39" s="547">
        <v>219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334.4</v>
      </c>
      <c r="E40" s="547">
        <f>600+30</f>
        <v>630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20.399999999999999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17.89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13.78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1064.82</v>
      </c>
      <c r="E44" s="547">
        <f>13140+61</f>
        <v>13201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11.04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108.67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31.39</v>
      </c>
      <c r="E49" s="547">
        <v>336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286.91000000000003</v>
      </c>
      <c r="E50" s="547">
        <f>2563+17</f>
        <v>2580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8.91</v>
      </c>
      <c r="E51" s="547">
        <v>9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306.27</v>
      </c>
      <c r="E52" s="547">
        <f>3609+15</f>
        <v>3624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106.96</v>
      </c>
      <c r="E53" s="547">
        <v>1462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28.92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973.13</v>
      </c>
      <c r="E55" s="547">
        <f>13020+53</f>
        <v>13073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76.45</v>
      </c>
      <c r="E56" s="547">
        <v>1014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10.43</v>
      </c>
      <c r="E57" s="547">
        <v>31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1253.81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459.22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323.67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178.02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859.52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77.19</v>
      </c>
      <c r="E65" s="547">
        <v>1002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634.53</v>
      </c>
      <c r="E66" s="547">
        <f>10239+25</f>
        <v>10264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323.39</v>
      </c>
      <c r="E67" s="547">
        <f>1200+22</f>
        <v>1222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237.74</v>
      </c>
      <c r="E68" s="547">
        <f>2037+13</f>
        <v>2050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977">
        <v>216</v>
      </c>
      <c r="E70" s="757">
        <v>1790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977">
        <v>155.77000000000001</v>
      </c>
      <c r="E71" s="757">
        <v>947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977">
        <v>128</v>
      </c>
      <c r="E72" s="757">
        <v>703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977">
        <v>52</v>
      </c>
      <c r="E73" s="757">
        <v>144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977">
        <v>44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977">
        <v>246</v>
      </c>
      <c r="E75" s="757">
        <v>1896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977">
        <v>86</v>
      </c>
      <c r="E76" s="757">
        <v>558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977">
        <v>62</v>
      </c>
      <c r="E77" s="757">
        <v>241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977">
        <v>74</v>
      </c>
      <c r="E78" s="757">
        <v>162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977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977">
        <v>59</v>
      </c>
      <c r="E80" s="757">
        <v>213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977">
        <v>73.64</v>
      </c>
      <c r="E81" s="757">
        <v>167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977">
        <v>1884</v>
      </c>
      <c r="E83" s="757">
        <v>13440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977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977">
        <v>38</v>
      </c>
      <c r="E86" s="757">
        <v>7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977">
        <v>49</v>
      </c>
      <c r="E87" s="757">
        <v>76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977">
        <v>773</v>
      </c>
      <c r="E88" s="757">
        <v>2907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977">
        <v>301</v>
      </c>
      <c r="E89" s="757">
        <v>1096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978">
        <v>286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977">
        <v>203</v>
      </c>
      <c r="E91" s="757">
        <v>1009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977">
        <v>66</v>
      </c>
      <c r="E92" s="757">
        <v>85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977">
        <v>94</v>
      </c>
      <c r="E93" s="757">
        <v>366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977">
        <v>104</v>
      </c>
      <c r="E94" s="757">
        <v>666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977">
        <v>2063</v>
      </c>
      <c r="E95" s="757">
        <v>22320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977">
        <v>294</v>
      </c>
      <c r="E96" s="757">
        <v>2375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104.09</v>
      </c>
      <c r="I98" s="757">
        <v>134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211.89</v>
      </c>
      <c r="I99" s="757">
        <v>296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43.57</v>
      </c>
      <c r="I100" s="757">
        <v>28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39.83</v>
      </c>
      <c r="I101" s="757">
        <v>21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55.85</v>
      </c>
      <c r="I102" s="757">
        <v>51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98.25</v>
      </c>
      <c r="I106" s="757">
        <v>125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20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49.98</v>
      </c>
      <c r="I111" s="757">
        <v>40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18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2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214.72</v>
      </c>
      <c r="I117" s="757">
        <v>300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138.47999999999999</v>
      </c>
      <c r="I118" s="757">
        <v>187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15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/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1840</v>
      </c>
      <c r="D125" s="269"/>
      <c r="E125" s="757"/>
      <c r="F125" s="544"/>
      <c r="G125" s="757"/>
      <c r="H125" s="269">
        <v>56.13</v>
      </c>
      <c r="I125" s="757">
        <v>6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1828</v>
      </c>
      <c r="D129" s="269"/>
      <c r="E129" s="757"/>
      <c r="F129" s="544"/>
      <c r="G129" s="757"/>
      <c r="H129" s="977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1829</v>
      </c>
      <c r="D131" s="269" t="s">
        <v>383</v>
      </c>
      <c r="E131" s="757"/>
      <c r="F131" s="544"/>
      <c r="G131" s="757"/>
      <c r="H131" s="977">
        <v>97.6</v>
      </c>
      <c r="I131" s="757">
        <v>124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1835</v>
      </c>
      <c r="D132" s="269"/>
      <c r="E132" s="757"/>
      <c r="F132" s="544"/>
      <c r="G132" s="757"/>
      <c r="H132" s="977">
        <v>39.299999999999997</v>
      </c>
      <c r="I132" s="757">
        <v>8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3004.23</v>
      </c>
      <c r="I133" s="757">
        <v>3954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89" t="s">
        <v>1828</v>
      </c>
      <c r="D135" s="269"/>
      <c r="E135" s="757"/>
      <c r="F135" s="544"/>
      <c r="G135" s="757"/>
      <c r="H135" s="977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1835</v>
      </c>
      <c r="D136" s="269"/>
      <c r="E136" s="757"/>
      <c r="F136" s="544"/>
      <c r="G136" s="757"/>
      <c r="H136" s="977">
        <v>70.81</v>
      </c>
      <c r="I136" s="757">
        <v>79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397.11</v>
      </c>
      <c r="I139" s="757">
        <v>546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120</v>
      </c>
      <c r="I142" s="757">
        <v>3000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J14" sqref="J1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1842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79"/>
      <c r="B4" s="980"/>
      <c r="C4" s="980"/>
      <c r="D4" s="980"/>
      <c r="E4" s="980"/>
      <c r="F4" s="980"/>
      <c r="G4" s="98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216578</v>
      </c>
      <c r="D13" s="34"/>
      <c r="E13" s="35" t="s">
        <v>33</v>
      </c>
      <c r="F13" s="34"/>
      <c r="G13" s="42">
        <v>21093.919999999998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1459</v>
      </c>
      <c r="D15" s="34"/>
      <c r="E15" s="35" t="s">
        <v>10</v>
      </c>
      <c r="F15" s="34"/>
      <c r="G15" s="42">
        <v>1936.9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729892</v>
      </c>
      <c r="D17" s="34"/>
      <c r="E17" s="35" t="s">
        <v>278</v>
      </c>
      <c r="F17" s="34"/>
      <c r="G17" s="42">
        <v>6710.6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9" activePane="bottomLeft" state="frozen"/>
      <selection pane="bottomLeft" activeCell="C32" sqref="C3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813.82</v>
      </c>
      <c r="G3" s="763">
        <v>1071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78.36</v>
      </c>
      <c r="G4" s="757">
        <v>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66.38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116.49</v>
      </c>
      <c r="G6" s="757">
        <v>83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1825</v>
      </c>
      <c r="D7" s="269"/>
      <c r="E7" s="757"/>
      <c r="F7" s="544">
        <v>76.349999999999994</v>
      </c>
      <c r="G7" s="757">
        <v>20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87.56</v>
      </c>
      <c r="G8" s="757">
        <v>42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70.599999999999994</v>
      </c>
      <c r="G9" s="757">
        <v>18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65.73</v>
      </c>
      <c r="G10" s="757">
        <v>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1813</v>
      </c>
      <c r="D11" s="269"/>
      <c r="E11" s="757"/>
      <c r="F11" s="544">
        <v>67.209999999999994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57.91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1826</v>
      </c>
      <c r="D13" s="269"/>
      <c r="E13" s="757"/>
      <c r="F13" s="544">
        <v>73.430000000000007</v>
      </c>
      <c r="G13" s="757">
        <v>22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63.55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132.71</v>
      </c>
      <c r="G15" s="757">
        <v>106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30.36</v>
      </c>
      <c r="G16" s="757">
        <v>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1824</v>
      </c>
      <c r="D17" s="269"/>
      <c r="E17" s="757"/>
      <c r="F17" s="544">
        <v>61.6</v>
      </c>
      <c r="G17" s="757">
        <v>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45" t="s">
        <v>1824</v>
      </c>
      <c r="D18" s="269"/>
      <c r="E18" s="757"/>
      <c r="F18" s="544">
        <v>74.84</v>
      </c>
      <c r="G18" s="757">
        <v>24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1821</v>
      </c>
      <c r="D20" s="618">
        <v>185.19</v>
      </c>
      <c r="E20" s="547">
        <f>1328+11</f>
        <v>1339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38.479999999999997</v>
      </c>
      <c r="E22" s="547">
        <v>448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61.44</v>
      </c>
      <c r="E24" s="547">
        <v>769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663.32</v>
      </c>
      <c r="E25" s="547">
        <f>5520+43</f>
        <v>5563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83.13</v>
      </c>
      <c r="E27" s="547">
        <v>1083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17.84</v>
      </c>
      <c r="E29" s="547">
        <v>138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227.71</v>
      </c>
      <c r="E30" s="547">
        <f>1900+13</f>
        <v>1913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629.24</v>
      </c>
      <c r="E31" s="547">
        <f>8520+31</f>
        <v>8551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378</v>
      </c>
      <c r="E34" s="547">
        <f>2793+24</f>
        <v>2817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100.28</v>
      </c>
      <c r="E36" s="547">
        <v>1331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17.78</v>
      </c>
      <c r="E37" s="547">
        <v>137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3899.83</v>
      </c>
      <c r="E38" s="547">
        <f>68200+155</f>
        <v>68355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14.8</v>
      </c>
      <c r="E39" s="547">
        <v>94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49.75</v>
      </c>
      <c r="E40" s="547">
        <v>600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919.25</v>
      </c>
      <c r="E44" s="547">
        <f>10440+52</f>
        <v>10492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10.01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16.59</v>
      </c>
      <c r="E48" s="547">
        <v>120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45.61</v>
      </c>
      <c r="E49" s="547">
        <v>540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271.06</v>
      </c>
      <c r="E50" s="547">
        <f>2092+17</f>
        <v>2109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8.85</v>
      </c>
      <c r="E51" s="547">
        <v>8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284.10000000000002</v>
      </c>
      <c r="E52" s="547">
        <f>3219+14</f>
        <v>3233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107.16</v>
      </c>
      <c r="E53" s="547">
        <v>1459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855.6</v>
      </c>
      <c r="E55" s="547">
        <f>11340+38</f>
        <v>11378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29.8</v>
      </c>
      <c r="E56" s="547">
        <v>320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43.19</v>
      </c>
      <c r="E57" s="547">
        <v>505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178.6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92.6</v>
      </c>
      <c r="E65" s="547">
        <v>1220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628.41999999999996</v>
      </c>
      <c r="E66" s="547">
        <f>11553+19</f>
        <v>11572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319</v>
      </c>
      <c r="E67" s="547">
        <f>1040+22</f>
        <v>1062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271.52999999999997</v>
      </c>
      <c r="E68" s="547">
        <f>2437+15</f>
        <v>2452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194</v>
      </c>
      <c r="E70" s="757">
        <v>1569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184</v>
      </c>
      <c r="E71" s="757">
        <v>1270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128</v>
      </c>
      <c r="E72" s="757">
        <v>711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49</v>
      </c>
      <c r="E73" s="757">
        <v>115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279</v>
      </c>
      <c r="E75" s="757">
        <v>2224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144</v>
      </c>
      <c r="E76" s="757">
        <v>1141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70</v>
      </c>
      <c r="E77" s="757">
        <v>328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72</v>
      </c>
      <c r="E78" s="757">
        <v>146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80</v>
      </c>
      <c r="E80" s="757"/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75.34</v>
      </c>
      <c r="E81" s="757"/>
      <c r="F81" s="544"/>
      <c r="G81" s="757"/>
      <c r="H81" s="269"/>
      <c r="I81" s="757"/>
      <c r="J81" s="245"/>
      <c r="K81" s="245"/>
      <c r="L81" s="245"/>
    </row>
    <row r="82" spans="1:12" s="970" customFormat="1" x14ac:dyDescent="0.25">
      <c r="A82" s="731" t="s">
        <v>1797</v>
      </c>
      <c r="B82" s="732" t="s">
        <v>201</v>
      </c>
      <c r="C82" s="581"/>
      <c r="D82" s="579"/>
      <c r="E82" s="804"/>
      <c r="F82" s="631"/>
      <c r="G82" s="804"/>
      <c r="H82" s="579"/>
      <c r="I82" s="804"/>
      <c r="J82" s="581" t="s">
        <v>33</v>
      </c>
      <c r="K82" s="581"/>
      <c r="L82" s="581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1829</v>
      </c>
      <c r="E83" s="757">
        <v>13080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6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61</v>
      </c>
      <c r="E87" s="757">
        <v>204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1816</v>
      </c>
      <c r="D88" s="269">
        <v>415</v>
      </c>
      <c r="E88" s="757">
        <v>2700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600</v>
      </c>
      <c r="E89" s="757">
        <v>5160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286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177</v>
      </c>
      <c r="E91" s="757">
        <v>747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66</v>
      </c>
      <c r="E92" s="757">
        <v>88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92</v>
      </c>
      <c r="E93" s="757">
        <v>342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82</v>
      </c>
      <c r="E94" s="757">
        <v>446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2083</v>
      </c>
      <c r="E95" s="757">
        <v>22680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201</v>
      </c>
      <c r="E96" s="757">
        <v>1437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106.68</v>
      </c>
      <c r="I98" s="757">
        <v>138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243</v>
      </c>
      <c r="I99" s="757">
        <v>340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52.12</v>
      </c>
      <c r="I100" s="757">
        <v>44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13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56.39</v>
      </c>
      <c r="I102" s="757">
        <v>52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39.83</v>
      </c>
      <c r="I103" s="757">
        <v>21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1816</v>
      </c>
      <c r="D104" s="269"/>
      <c r="E104" s="757"/>
      <c r="F104" s="544"/>
      <c r="G104" s="757"/>
      <c r="H104" s="269">
        <v>70.27</v>
      </c>
      <c r="I104" s="757">
        <v>78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159.25</v>
      </c>
      <c r="I106" s="757">
        <v>219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40.9</v>
      </c>
      <c r="I107" s="757">
        <v>23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46.24</v>
      </c>
      <c r="I111" s="757">
        <v>33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16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8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2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257.85000000000002</v>
      </c>
      <c r="I117" s="757">
        <v>361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124.85</v>
      </c>
      <c r="I118" s="757">
        <v>166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6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119.66</v>
      </c>
      <c r="I121" s="757">
        <v>158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7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17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97.6</v>
      </c>
      <c r="I131" s="757">
        <v>124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8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3004.23</v>
      </c>
      <c r="I133" s="757">
        <v>3954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70.81</v>
      </c>
      <c r="I136" s="757">
        <v>79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332.85</v>
      </c>
      <c r="I137" s="757">
        <v>462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297.66000000000003</v>
      </c>
      <c r="I138" s="757">
        <v>416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1823</v>
      </c>
      <c r="D139" s="269"/>
      <c r="E139" s="757"/>
      <c r="F139" s="544"/>
      <c r="G139" s="757"/>
      <c r="H139" s="269">
        <v>397.11</v>
      </c>
      <c r="I139" s="757">
        <v>546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359" customFormat="1" x14ac:dyDescent="0.25">
      <c r="A141" s="929" t="s">
        <v>107</v>
      </c>
      <c r="B141" s="930">
        <v>67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35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1820</v>
      </c>
      <c r="D148" s="269"/>
      <c r="E148" s="757"/>
      <c r="F148" s="544"/>
      <c r="G148" s="757"/>
      <c r="H148" s="269">
        <v>404.1</v>
      </c>
      <c r="I148" s="757">
        <v>722550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view="pageBreakPreview" zoomScale="60" zoomScaleNormal="100" workbookViewId="0">
      <selection activeCell="J18" sqref="J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1819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71"/>
      <c r="B4" s="972"/>
      <c r="C4" s="972"/>
      <c r="D4" s="972"/>
      <c r="E4" s="972"/>
      <c r="F4" s="972"/>
      <c r="G4" s="97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184684.59</v>
      </c>
      <c r="D13" s="34"/>
      <c r="E13" s="35" t="s">
        <v>33</v>
      </c>
      <c r="F13" s="34"/>
      <c r="G13" s="42">
        <v>17829.27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6257</v>
      </c>
      <c r="D15" s="34"/>
      <c r="E15" s="35" t="s">
        <v>10</v>
      </c>
      <c r="F15" s="34"/>
      <c r="G15" s="42">
        <v>4716.3100000000004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12425</v>
      </c>
      <c r="D17" s="34"/>
      <c r="E17" s="35" t="s">
        <v>278</v>
      </c>
      <c r="F17" s="34"/>
      <c r="G17" s="42">
        <v>6306.71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138" activePane="bottomLeft" state="frozen"/>
      <selection pane="bottomLeft" activeCell="G22" sqref="G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2047.75</v>
      </c>
      <c r="G3" s="763">
        <v>3247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1814</v>
      </c>
      <c r="D5" s="328"/>
      <c r="E5" s="763"/>
      <c r="F5" s="620">
        <v>194.45</v>
      </c>
      <c r="G5" s="763">
        <v>197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1815</v>
      </c>
      <c r="D6" s="269"/>
      <c r="E6" s="757"/>
      <c r="F6" s="544">
        <v>172.28</v>
      </c>
      <c r="G6" s="757">
        <v>176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1804</v>
      </c>
      <c r="D7" s="269"/>
      <c r="E7" s="757"/>
      <c r="F7" s="544">
        <v>114.83</v>
      </c>
      <c r="G7" s="757">
        <v>81</v>
      </c>
      <c r="H7" s="269"/>
      <c r="I7" s="757"/>
      <c r="J7" s="245" t="s">
        <v>10</v>
      </c>
      <c r="K7" s="245"/>
      <c r="L7" s="245"/>
    </row>
    <row r="8" spans="1:36" s="359" customFormat="1" ht="24" customHeight="1" x14ac:dyDescent="0.25">
      <c r="A8" s="929" t="s">
        <v>42</v>
      </c>
      <c r="B8" s="930">
        <v>3029257704</v>
      </c>
      <c r="C8" s="355"/>
      <c r="D8" s="356"/>
      <c r="E8" s="758"/>
      <c r="F8" s="717"/>
      <c r="G8" s="758"/>
      <c r="H8" s="356"/>
      <c r="I8" s="758"/>
      <c r="J8" s="355" t="s">
        <v>10</v>
      </c>
      <c r="K8" s="355"/>
      <c r="L8" s="35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305.06</v>
      </c>
      <c r="G9" s="757">
        <v>364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209.32</v>
      </c>
      <c r="G10" s="757">
        <v>223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1813</v>
      </c>
      <c r="D11" s="269"/>
      <c r="E11" s="757"/>
      <c r="F11" s="544">
        <v>63.73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1812</v>
      </c>
      <c r="D12" s="269"/>
      <c r="E12" s="757"/>
      <c r="F12" s="544">
        <v>80.260000000000005</v>
      </c>
      <c r="G12" s="757">
        <v>27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69.5</v>
      </c>
      <c r="G13" s="757">
        <v>17</v>
      </c>
      <c r="H13" s="544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68.39</v>
      </c>
      <c r="G14" s="757">
        <v>8</v>
      </c>
      <c r="H14" s="544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69.5</v>
      </c>
      <c r="G15" s="757">
        <v>17</v>
      </c>
      <c r="H15" s="544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/>
      <c r="G16" s="757"/>
      <c r="H16" s="544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188.43</v>
      </c>
      <c r="G17" s="757">
        <v>213</v>
      </c>
      <c r="H17" s="544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704</v>
      </c>
      <c r="G18" s="757">
        <v>991</v>
      </c>
      <c r="H18" s="544"/>
      <c r="I18" s="757"/>
      <c r="J18" s="245" t="s">
        <v>10</v>
      </c>
      <c r="K18" s="245"/>
      <c r="L18" s="245"/>
    </row>
    <row r="19" spans="1:12" s="199" customFormat="1" x14ac:dyDescent="0.25">
      <c r="A19" s="902" t="s">
        <v>1757</v>
      </c>
      <c r="B19" s="690"/>
      <c r="C19" s="303"/>
      <c r="D19" s="250"/>
      <c r="E19" s="750"/>
      <c r="F19" s="543"/>
      <c r="G19" s="750"/>
      <c r="H19" s="543"/>
      <c r="I19" s="750"/>
      <c r="J19" s="249"/>
      <c r="K19" s="249"/>
      <c r="L19" s="249"/>
    </row>
    <row r="20" spans="1:12" s="184" customFormat="1" x14ac:dyDescent="0.25">
      <c r="A20" s="695" t="s">
        <v>1817</v>
      </c>
      <c r="B20" s="681">
        <v>138296</v>
      </c>
      <c r="C20" s="289" t="s">
        <v>1818</v>
      </c>
      <c r="D20" s="269">
        <v>12.52</v>
      </c>
      <c r="E20" s="757">
        <v>52</v>
      </c>
      <c r="F20" s="544"/>
      <c r="G20" s="757"/>
      <c r="H20" s="544"/>
      <c r="I20" s="757"/>
      <c r="J20" s="245"/>
      <c r="K20" s="245"/>
      <c r="L20" s="245"/>
    </row>
    <row r="21" spans="1:12" s="584" customFormat="1" ht="29.25" customHeight="1" x14ac:dyDescent="0.3">
      <c r="A21" s="862" t="s">
        <v>1548</v>
      </c>
      <c r="B21" s="858" t="s">
        <v>1549</v>
      </c>
      <c r="C21" s="858"/>
      <c r="D21" s="859"/>
      <c r="E21" s="861"/>
      <c r="F21" s="543"/>
      <c r="G21" s="750"/>
      <c r="H21" s="543"/>
      <c r="I21" s="750"/>
      <c r="J21" s="858"/>
      <c r="K21" s="858"/>
      <c r="L21" s="858"/>
    </row>
    <row r="22" spans="1:12" s="619" customFormat="1" ht="14.25" customHeight="1" x14ac:dyDescent="0.25">
      <c r="A22" s="546" t="s">
        <v>870</v>
      </c>
      <c r="B22" s="546" t="s">
        <v>1550</v>
      </c>
      <c r="C22" s="546" t="s">
        <v>1809</v>
      </c>
      <c r="D22" s="618">
        <v>52.77</v>
      </c>
      <c r="E22" s="547">
        <v>1523</v>
      </c>
      <c r="F22" s="544"/>
      <c r="G22" s="757"/>
      <c r="H22" s="618"/>
      <c r="I22" s="547"/>
      <c r="J22" s="546"/>
      <c r="K22" s="546" t="s">
        <v>1554</v>
      </c>
      <c r="L22" s="546"/>
    </row>
    <row r="23" spans="1:12" s="619" customFormat="1" ht="14.25" customHeight="1" x14ac:dyDescent="0.25">
      <c r="A23" s="546" t="s">
        <v>864</v>
      </c>
      <c r="B23" s="546" t="s">
        <v>1557</v>
      </c>
      <c r="C23" s="767"/>
      <c r="D23" s="618">
        <v>8.1300000000000008</v>
      </c>
      <c r="E23" s="547">
        <v>0</v>
      </c>
      <c r="F23" s="548"/>
      <c r="G23" s="547"/>
      <c r="H23" s="618"/>
      <c r="I23" s="547"/>
      <c r="J23" s="546"/>
      <c r="K23" s="546" t="s">
        <v>821</v>
      </c>
      <c r="L23" s="546"/>
    </row>
    <row r="24" spans="1:12" s="619" customFormat="1" ht="14.25" customHeight="1" x14ac:dyDescent="0.25">
      <c r="A24" s="546" t="s">
        <v>1552</v>
      </c>
      <c r="B24" s="546" t="s">
        <v>1553</v>
      </c>
      <c r="C24" s="546"/>
      <c r="D24" s="618">
        <v>22.14</v>
      </c>
      <c r="E24" s="547">
        <v>207</v>
      </c>
      <c r="F24" s="548"/>
      <c r="G24" s="547"/>
      <c r="H24" s="618"/>
      <c r="I24" s="547"/>
      <c r="J24" s="546"/>
      <c r="K24" s="546" t="s">
        <v>794</v>
      </c>
      <c r="L24" s="546"/>
    </row>
    <row r="25" spans="1:12" s="619" customFormat="1" ht="14.25" customHeight="1" x14ac:dyDescent="0.25">
      <c r="A25" s="546" t="s">
        <v>852</v>
      </c>
      <c r="B25" s="546" t="s">
        <v>1558</v>
      </c>
      <c r="C25" s="546"/>
      <c r="D25" s="618">
        <v>17.670000000000002</v>
      </c>
      <c r="E25" s="547">
        <v>150</v>
      </c>
      <c r="F25" s="548"/>
      <c r="G25" s="547"/>
      <c r="H25" s="618"/>
      <c r="I25" s="547"/>
      <c r="J25" s="546"/>
      <c r="K25" s="546" t="s">
        <v>808</v>
      </c>
      <c r="L25" s="546"/>
    </row>
    <row r="26" spans="1:12" s="619" customFormat="1" ht="14.25" customHeight="1" x14ac:dyDescent="0.25">
      <c r="A26" s="546" t="s">
        <v>1555</v>
      </c>
      <c r="B26" s="546" t="s">
        <v>1556</v>
      </c>
      <c r="C26" s="546"/>
      <c r="D26" s="618">
        <v>56.18</v>
      </c>
      <c r="E26" s="547">
        <v>693</v>
      </c>
      <c r="F26" s="548"/>
      <c r="G26" s="547"/>
      <c r="H26" s="618"/>
      <c r="I26" s="547"/>
      <c r="J26" s="546"/>
      <c r="K26" s="546" t="s">
        <v>811</v>
      </c>
      <c r="L26" s="546"/>
    </row>
    <row r="27" spans="1:12" s="619" customFormat="1" ht="14.25" customHeight="1" x14ac:dyDescent="0.25">
      <c r="A27" s="546" t="s">
        <v>1561</v>
      </c>
      <c r="B27" s="546" t="s">
        <v>1559</v>
      </c>
      <c r="C27" s="546"/>
      <c r="D27" s="618">
        <v>367.94</v>
      </c>
      <c r="E27" s="547">
        <v>4480</v>
      </c>
      <c r="F27" s="548"/>
      <c r="G27" s="547"/>
      <c r="H27" s="618"/>
      <c r="I27" s="547"/>
      <c r="J27" s="546"/>
      <c r="K27" s="546" t="s">
        <v>1560</v>
      </c>
      <c r="L27" s="546"/>
    </row>
    <row r="28" spans="1:12" s="619" customFormat="1" ht="14.25" customHeight="1" x14ac:dyDescent="0.25">
      <c r="A28" s="546" t="s">
        <v>858</v>
      </c>
      <c r="B28" s="546" t="s">
        <v>1562</v>
      </c>
      <c r="C28" s="546"/>
      <c r="D28" s="618">
        <v>13.86</v>
      </c>
      <c r="E28" s="547">
        <v>80</v>
      </c>
      <c r="F28" s="548"/>
      <c r="G28" s="547"/>
      <c r="H28" s="618"/>
      <c r="I28" s="547"/>
      <c r="J28" s="546"/>
      <c r="K28" s="546" t="s">
        <v>791</v>
      </c>
      <c r="L28" s="546"/>
    </row>
    <row r="29" spans="1:12" s="619" customFormat="1" ht="14.25" customHeight="1" x14ac:dyDescent="0.25">
      <c r="A29" s="546" t="s">
        <v>840</v>
      </c>
      <c r="B29" s="546" t="s">
        <v>1563</v>
      </c>
      <c r="C29" s="767"/>
      <c r="D29" s="618">
        <v>87.15</v>
      </c>
      <c r="E29" s="547">
        <v>1141</v>
      </c>
      <c r="F29" s="548"/>
      <c r="G29" s="547"/>
      <c r="H29" s="618"/>
      <c r="I29" s="547"/>
      <c r="J29" s="546"/>
      <c r="K29" s="546" t="s">
        <v>810</v>
      </c>
      <c r="L29" s="546"/>
    </row>
    <row r="30" spans="1:12" s="619" customFormat="1" ht="14.25" customHeight="1" x14ac:dyDescent="0.25">
      <c r="A30" s="546" t="s">
        <v>1167</v>
      </c>
      <c r="B30" s="546" t="s">
        <v>1564</v>
      </c>
      <c r="C30" s="546"/>
      <c r="D30" s="618">
        <v>18.03</v>
      </c>
      <c r="E30" s="547">
        <v>150</v>
      </c>
      <c r="F30" s="548"/>
      <c r="G30" s="547"/>
      <c r="H30" s="618"/>
      <c r="I30" s="547"/>
      <c r="J30" s="546"/>
      <c r="K30" s="546" t="s">
        <v>792</v>
      </c>
      <c r="L30" s="546"/>
    </row>
    <row r="31" spans="1:12" s="619" customFormat="1" ht="14.25" customHeight="1" x14ac:dyDescent="0.25">
      <c r="A31" s="546" t="s">
        <v>1565</v>
      </c>
      <c r="B31" s="546" t="s">
        <v>1566</v>
      </c>
      <c r="C31" s="546"/>
      <c r="D31" s="618">
        <v>18.12</v>
      </c>
      <c r="E31" s="547">
        <v>142</v>
      </c>
      <c r="F31" s="548"/>
      <c r="G31" s="547"/>
      <c r="H31" s="618"/>
      <c r="I31" s="547"/>
      <c r="J31" s="546"/>
      <c r="K31" s="546" t="s">
        <v>820</v>
      </c>
      <c r="L31" s="546"/>
    </row>
    <row r="32" spans="1:12" s="619" customFormat="1" ht="14.25" customHeight="1" x14ac:dyDescent="0.25">
      <c r="A32" s="546" t="s">
        <v>1567</v>
      </c>
      <c r="B32" s="546" t="s">
        <v>1568</v>
      </c>
      <c r="C32" s="546"/>
      <c r="D32" s="618">
        <v>209.18</v>
      </c>
      <c r="E32" s="547">
        <v>1638</v>
      </c>
      <c r="F32" s="548"/>
      <c r="G32" s="547"/>
      <c r="H32" s="618"/>
      <c r="I32" s="547"/>
      <c r="J32" s="546"/>
      <c r="K32" s="546" t="s">
        <v>819</v>
      </c>
      <c r="L32" s="546"/>
    </row>
    <row r="33" spans="1:12" s="619" customFormat="1" ht="14.25" customHeight="1" x14ac:dyDescent="0.25">
      <c r="A33" s="546" t="s">
        <v>1569</v>
      </c>
      <c r="B33" s="546" t="s">
        <v>1570</v>
      </c>
      <c r="C33" s="546"/>
      <c r="D33" s="618">
        <v>580.86</v>
      </c>
      <c r="E33" s="547">
        <v>7680</v>
      </c>
      <c r="F33" s="548"/>
      <c r="G33" s="547"/>
      <c r="H33" s="618"/>
      <c r="I33" s="547"/>
      <c r="J33" s="546"/>
      <c r="K33" s="546" t="s">
        <v>818</v>
      </c>
      <c r="L33" s="546"/>
    </row>
    <row r="34" spans="1:12" s="619" customFormat="1" ht="14.25" customHeight="1" x14ac:dyDescent="0.25">
      <c r="A34" s="546" t="s">
        <v>1571</v>
      </c>
      <c r="B34" s="546" t="s">
        <v>1572</v>
      </c>
      <c r="C34" s="546"/>
      <c r="D34" s="618">
        <v>18.03</v>
      </c>
      <c r="E34" s="547">
        <v>150</v>
      </c>
      <c r="F34" s="548"/>
      <c r="G34" s="547"/>
      <c r="H34" s="618"/>
      <c r="I34" s="547"/>
      <c r="J34" s="546"/>
      <c r="K34" s="546" t="s">
        <v>797</v>
      </c>
      <c r="L34" s="546"/>
    </row>
    <row r="35" spans="1:12" s="619" customFormat="1" ht="14.25" customHeight="1" x14ac:dyDescent="0.25">
      <c r="A35" s="546" t="s">
        <v>1573</v>
      </c>
      <c r="B35" s="546" t="s">
        <v>1574</v>
      </c>
      <c r="C35" s="546"/>
      <c r="D35" s="618">
        <v>22.64</v>
      </c>
      <c r="E35" s="547">
        <v>160</v>
      </c>
      <c r="F35" s="548"/>
      <c r="G35" s="547"/>
      <c r="H35" s="618"/>
      <c r="I35" s="547"/>
      <c r="J35" s="546"/>
      <c r="K35" s="546" t="s">
        <v>809</v>
      </c>
      <c r="L35" s="546"/>
    </row>
    <row r="36" spans="1:12" s="619" customFormat="1" ht="14.25" customHeight="1" x14ac:dyDescent="0.25">
      <c r="A36" s="546" t="s">
        <v>1575</v>
      </c>
      <c r="B36" s="546" t="s">
        <v>1576</v>
      </c>
      <c r="C36" s="546"/>
      <c r="D36" s="618">
        <v>326.32</v>
      </c>
      <c r="E36" s="547">
        <v>2719</v>
      </c>
      <c r="F36" s="548"/>
      <c r="G36" s="547"/>
      <c r="H36" s="618"/>
      <c r="I36" s="547"/>
      <c r="J36" s="546"/>
      <c r="K36" s="546" t="s">
        <v>822</v>
      </c>
      <c r="L36" s="546"/>
    </row>
    <row r="37" spans="1:12" s="619" customFormat="1" ht="14.25" customHeight="1" x14ac:dyDescent="0.25">
      <c r="A37" s="546" t="s">
        <v>828</v>
      </c>
      <c r="B37" s="546" t="s">
        <v>1577</v>
      </c>
      <c r="C37" s="546"/>
      <c r="D37" s="618">
        <v>11.11</v>
      </c>
      <c r="E37" s="547">
        <v>70</v>
      </c>
      <c r="F37" s="548"/>
      <c r="G37" s="547"/>
      <c r="H37" s="618"/>
      <c r="I37" s="547"/>
      <c r="J37" s="546"/>
      <c r="K37" s="546" t="s">
        <v>780</v>
      </c>
      <c r="L37" s="546"/>
    </row>
    <row r="38" spans="1:12" s="619" customFormat="1" ht="14.25" customHeight="1" x14ac:dyDescent="0.25">
      <c r="A38" s="546" t="s">
        <v>1578</v>
      </c>
      <c r="B38" s="546" t="s">
        <v>1579</v>
      </c>
      <c r="C38" s="546"/>
      <c r="D38" s="618">
        <v>83.33</v>
      </c>
      <c r="E38" s="547">
        <v>1086</v>
      </c>
      <c r="F38" s="548"/>
      <c r="G38" s="547"/>
      <c r="H38" s="618"/>
      <c r="I38" s="547"/>
      <c r="J38" s="546"/>
      <c r="K38" s="546" t="s">
        <v>826</v>
      </c>
      <c r="L38" s="546"/>
    </row>
    <row r="39" spans="1:12" s="619" customFormat="1" ht="14.25" customHeight="1" x14ac:dyDescent="0.25">
      <c r="A39" s="546" t="s">
        <v>1733</v>
      </c>
      <c r="B39" s="546" t="s">
        <v>1671</v>
      </c>
      <c r="C39" s="546"/>
      <c r="D39" s="618">
        <v>16.739999999999998</v>
      </c>
      <c r="E39" s="547">
        <v>122</v>
      </c>
      <c r="F39" s="548"/>
      <c r="G39" s="547"/>
      <c r="H39" s="618"/>
      <c r="I39" s="547"/>
      <c r="J39" s="546"/>
      <c r="K39" s="546" t="s">
        <v>1468</v>
      </c>
      <c r="L39" s="546"/>
    </row>
    <row r="40" spans="1:12" s="619" customFormat="1" ht="14.25" customHeight="1" x14ac:dyDescent="0.25">
      <c r="A40" s="546" t="s">
        <v>1580</v>
      </c>
      <c r="B40" s="546" t="s">
        <v>1581</v>
      </c>
      <c r="C40" s="546"/>
      <c r="D40" s="618">
        <v>3351.71</v>
      </c>
      <c r="E40" s="547">
        <v>55900</v>
      </c>
      <c r="F40" s="548"/>
      <c r="G40" s="547"/>
      <c r="H40" s="618"/>
      <c r="I40" s="547"/>
      <c r="J40" s="546"/>
      <c r="K40" s="546" t="s">
        <v>783</v>
      </c>
      <c r="L40" s="546"/>
    </row>
    <row r="41" spans="1:12" s="619" customFormat="1" ht="14.25" customHeight="1" x14ac:dyDescent="0.25">
      <c r="A41" s="546" t="s">
        <v>1582</v>
      </c>
      <c r="B41" s="546" t="s">
        <v>1583</v>
      </c>
      <c r="C41" s="546"/>
      <c r="D41" s="618">
        <v>59.76</v>
      </c>
      <c r="E41" s="547">
        <v>745</v>
      </c>
      <c r="F41" s="548"/>
      <c r="G41" s="547"/>
      <c r="H41" s="618"/>
      <c r="I41" s="547"/>
      <c r="J41" s="546"/>
      <c r="K41" s="546" t="s">
        <v>825</v>
      </c>
      <c r="L41" s="546"/>
    </row>
    <row r="42" spans="1:12" s="619" customFormat="1" ht="14.25" customHeight="1" x14ac:dyDescent="0.25">
      <c r="A42" s="546" t="s">
        <v>1584</v>
      </c>
      <c r="B42" s="546" t="s">
        <v>1585</v>
      </c>
      <c r="C42" s="546"/>
      <c r="D42" s="618">
        <v>29.04</v>
      </c>
      <c r="E42" s="547">
        <v>300</v>
      </c>
      <c r="F42" s="548"/>
      <c r="G42" s="547"/>
      <c r="H42" s="618"/>
      <c r="I42" s="547"/>
      <c r="J42" s="546"/>
      <c r="K42" s="546" t="s">
        <v>785</v>
      </c>
      <c r="L42" s="546"/>
    </row>
    <row r="43" spans="1:12" s="619" customFormat="1" ht="14.25" customHeight="1" x14ac:dyDescent="0.25">
      <c r="A43" s="546" t="s">
        <v>935</v>
      </c>
      <c r="B43" s="546" t="s">
        <v>1586</v>
      </c>
      <c r="C43" s="546"/>
      <c r="D43" s="618">
        <v>20.53</v>
      </c>
      <c r="E43" s="547">
        <v>140</v>
      </c>
      <c r="F43" s="548"/>
      <c r="G43" s="547"/>
      <c r="H43" s="618"/>
      <c r="I43" s="547"/>
      <c r="J43" s="546"/>
      <c r="K43" s="546" t="s">
        <v>823</v>
      </c>
      <c r="L43" s="546"/>
    </row>
    <row r="44" spans="1:12" s="619" customFormat="1" ht="14.25" customHeight="1" x14ac:dyDescent="0.25">
      <c r="A44" s="546" t="s">
        <v>1587</v>
      </c>
      <c r="B44" s="546" t="s">
        <v>1588</v>
      </c>
      <c r="C44" s="546"/>
      <c r="D44" s="618">
        <v>18.03</v>
      </c>
      <c r="E44" s="547">
        <v>150</v>
      </c>
      <c r="F44" s="548"/>
      <c r="G44" s="547"/>
      <c r="H44" s="618"/>
      <c r="I44" s="547"/>
      <c r="J44" s="546"/>
      <c r="K44" s="546" t="s">
        <v>812</v>
      </c>
      <c r="L44" s="546"/>
    </row>
    <row r="45" spans="1:12" s="619" customFormat="1" ht="14.25" customHeight="1" x14ac:dyDescent="0.25">
      <c r="A45" s="546" t="s">
        <v>1589</v>
      </c>
      <c r="B45" s="546" t="s">
        <v>1590</v>
      </c>
      <c r="C45" s="546"/>
      <c r="D45" s="618">
        <v>13.86</v>
      </c>
      <c r="E45" s="547">
        <v>80</v>
      </c>
      <c r="F45" s="548"/>
      <c r="G45" s="547"/>
      <c r="H45" s="618"/>
      <c r="I45" s="547"/>
      <c r="J45" s="546"/>
      <c r="K45" s="546" t="s">
        <v>802</v>
      </c>
      <c r="L45" s="546"/>
    </row>
    <row r="46" spans="1:12" s="619" customFormat="1" ht="14.25" customHeight="1" x14ac:dyDescent="0.25">
      <c r="A46" s="546" t="s">
        <v>1591</v>
      </c>
      <c r="B46" s="546" t="s">
        <v>1592</v>
      </c>
      <c r="C46" s="546"/>
      <c r="D46" s="618">
        <v>891.48</v>
      </c>
      <c r="E46" s="547">
        <v>9900</v>
      </c>
      <c r="F46" s="548"/>
      <c r="G46" s="547"/>
      <c r="H46" s="618"/>
      <c r="I46" s="547"/>
      <c r="J46" s="546"/>
      <c r="K46" s="546" t="s">
        <v>1593</v>
      </c>
      <c r="L46" s="546"/>
    </row>
    <row r="47" spans="1:12" s="619" customFormat="1" ht="14.25" customHeight="1" x14ac:dyDescent="0.25">
      <c r="A47" s="546" t="s">
        <v>1594</v>
      </c>
      <c r="B47" s="546" t="s">
        <v>1595</v>
      </c>
      <c r="C47" s="546"/>
      <c r="D47" s="618">
        <v>11.11</v>
      </c>
      <c r="E47" s="547">
        <v>70</v>
      </c>
      <c r="F47" s="548"/>
      <c r="G47" s="547"/>
      <c r="H47" s="618"/>
      <c r="I47" s="547"/>
      <c r="J47" s="546"/>
      <c r="K47" s="546" t="s">
        <v>801</v>
      </c>
      <c r="L47" s="546"/>
    </row>
    <row r="48" spans="1:12" s="619" customFormat="1" ht="14.25" customHeight="1" x14ac:dyDescent="0.25">
      <c r="A48" s="546" t="s">
        <v>1596</v>
      </c>
      <c r="B48" s="546" t="s">
        <v>1597</v>
      </c>
      <c r="C48" s="546"/>
      <c r="D48" s="618">
        <v>23.99</v>
      </c>
      <c r="E48" s="547">
        <v>227.01</v>
      </c>
      <c r="F48" s="548"/>
      <c r="G48" s="547"/>
      <c r="H48" s="618"/>
      <c r="I48" s="547"/>
      <c r="J48" s="546"/>
      <c r="K48" s="546" t="s">
        <v>894</v>
      </c>
      <c r="L48" s="546"/>
    </row>
    <row r="49" spans="1:12" s="619" customFormat="1" ht="14.25" customHeight="1" x14ac:dyDescent="0.25">
      <c r="A49" s="546" t="s">
        <v>1598</v>
      </c>
      <c r="B49" s="546" t="s">
        <v>1599</v>
      </c>
      <c r="C49" s="546"/>
      <c r="D49" s="618">
        <v>109.43</v>
      </c>
      <c r="E49" s="547">
        <v>770</v>
      </c>
      <c r="F49" s="548"/>
      <c r="G49" s="547"/>
      <c r="H49" s="618"/>
      <c r="I49" s="547"/>
      <c r="J49" s="546"/>
      <c r="K49" s="546" t="s">
        <v>816</v>
      </c>
      <c r="L49" s="546"/>
    </row>
    <row r="50" spans="1:12" s="619" customFormat="1" ht="14.25" customHeight="1" x14ac:dyDescent="0.25">
      <c r="A50" s="546" t="s">
        <v>1734</v>
      </c>
      <c r="B50" s="546"/>
      <c r="C50" s="546"/>
      <c r="D50" s="618">
        <v>8.3000000000000007</v>
      </c>
      <c r="E50" s="547">
        <v>0</v>
      </c>
      <c r="F50" s="548"/>
      <c r="G50" s="547"/>
      <c r="H50" s="618"/>
      <c r="I50" s="547"/>
      <c r="J50" s="546"/>
      <c r="K50" s="546" t="s">
        <v>1735</v>
      </c>
      <c r="L50" s="546"/>
    </row>
    <row r="51" spans="1:12" s="619" customFormat="1" ht="14.25" customHeight="1" x14ac:dyDescent="0.25">
      <c r="A51" s="546" t="s">
        <v>1600</v>
      </c>
      <c r="B51" s="546" t="s">
        <v>1601</v>
      </c>
      <c r="C51" s="546"/>
      <c r="D51" s="618">
        <v>55.23</v>
      </c>
      <c r="E51" s="547">
        <v>679</v>
      </c>
      <c r="F51" s="548"/>
      <c r="G51" s="547"/>
      <c r="H51" s="618"/>
      <c r="I51" s="547"/>
      <c r="J51" s="546"/>
      <c r="K51" s="546" t="s">
        <v>798</v>
      </c>
      <c r="L51" s="546"/>
    </row>
    <row r="52" spans="1:12" s="619" customFormat="1" ht="14.25" customHeight="1" x14ac:dyDescent="0.25">
      <c r="A52" s="546" t="s">
        <v>1602</v>
      </c>
      <c r="B52" s="546" t="s">
        <v>1603</v>
      </c>
      <c r="C52" s="546"/>
      <c r="D52" s="618">
        <v>243.31</v>
      </c>
      <c r="E52" s="547">
        <v>1826</v>
      </c>
      <c r="F52" s="548"/>
      <c r="G52" s="547"/>
      <c r="H52" s="618"/>
      <c r="I52" s="547"/>
      <c r="J52" s="546"/>
      <c r="K52" s="546" t="s">
        <v>784</v>
      </c>
      <c r="L52" s="546"/>
    </row>
    <row r="53" spans="1:12" s="619" customFormat="1" ht="14.25" customHeight="1" x14ac:dyDescent="0.25">
      <c r="A53" s="546" t="s">
        <v>1604</v>
      </c>
      <c r="B53" s="546" t="s">
        <v>1605</v>
      </c>
      <c r="C53" s="546"/>
      <c r="D53" s="618">
        <v>13.06</v>
      </c>
      <c r="E53" s="547">
        <v>69</v>
      </c>
      <c r="F53" s="548"/>
      <c r="G53" s="547"/>
      <c r="H53" s="618"/>
      <c r="I53" s="547"/>
      <c r="J53" s="546"/>
      <c r="K53" s="546" t="s">
        <v>790</v>
      </c>
      <c r="L53" s="546"/>
    </row>
    <row r="54" spans="1:12" s="619" customFormat="1" ht="14.25" customHeight="1" x14ac:dyDescent="0.25">
      <c r="A54" s="546" t="s">
        <v>1606</v>
      </c>
      <c r="B54" s="546" t="s">
        <v>1607</v>
      </c>
      <c r="C54" s="546"/>
      <c r="D54" s="618">
        <v>238.96</v>
      </c>
      <c r="E54" s="547">
        <v>2724</v>
      </c>
      <c r="F54" s="548"/>
      <c r="G54" s="547"/>
      <c r="H54" s="618"/>
      <c r="I54" s="547"/>
      <c r="J54" s="546"/>
      <c r="K54" s="546" t="s">
        <v>781</v>
      </c>
      <c r="L54" s="546"/>
    </row>
    <row r="55" spans="1:12" s="619" customFormat="1" ht="14.25" customHeight="1" x14ac:dyDescent="0.25">
      <c r="A55" s="546" t="s">
        <v>1606</v>
      </c>
      <c r="B55" s="546" t="s">
        <v>1608</v>
      </c>
      <c r="C55" s="546"/>
      <c r="D55" s="618">
        <v>67.150000000000006</v>
      </c>
      <c r="E55" s="547">
        <v>896</v>
      </c>
      <c r="F55" s="548"/>
      <c r="G55" s="547"/>
      <c r="H55" s="618"/>
      <c r="I55" s="547"/>
      <c r="J55" s="546"/>
      <c r="K55" s="546" t="s">
        <v>795</v>
      </c>
      <c r="L55" s="546"/>
    </row>
    <row r="56" spans="1:12" s="619" customFormat="1" ht="14.25" customHeight="1" x14ac:dyDescent="0.25">
      <c r="A56" s="546" t="s">
        <v>1736</v>
      </c>
      <c r="B56" s="546"/>
      <c r="C56" s="546"/>
      <c r="D56" s="618">
        <v>14.51</v>
      </c>
      <c r="E56" s="547">
        <v>45</v>
      </c>
      <c r="F56" s="548"/>
      <c r="G56" s="547"/>
      <c r="H56" s="618"/>
      <c r="I56" s="547"/>
      <c r="J56" s="546"/>
      <c r="K56" s="546" t="s">
        <v>1737</v>
      </c>
      <c r="L56" s="546"/>
    </row>
    <row r="57" spans="1:12" s="619" customFormat="1" ht="14.25" customHeight="1" x14ac:dyDescent="0.25">
      <c r="A57" s="546" t="s">
        <v>1609</v>
      </c>
      <c r="B57" s="546" t="s">
        <v>1610</v>
      </c>
      <c r="C57" s="546"/>
      <c r="D57" s="618">
        <v>834.33</v>
      </c>
      <c r="E57" s="547">
        <v>10500</v>
      </c>
      <c r="F57" s="548"/>
      <c r="G57" s="547"/>
      <c r="H57" s="618"/>
      <c r="I57" s="547"/>
      <c r="J57" s="546"/>
      <c r="K57" s="546" t="s">
        <v>789</v>
      </c>
      <c r="L57" s="546"/>
    </row>
    <row r="58" spans="1:12" s="619" customFormat="1" ht="14.25" customHeight="1" x14ac:dyDescent="0.25">
      <c r="A58" s="546" t="s">
        <v>1611</v>
      </c>
      <c r="B58" s="546" t="s">
        <v>1612</v>
      </c>
      <c r="C58" s="546"/>
      <c r="D58" s="618">
        <v>29.8</v>
      </c>
      <c r="E58" s="547">
        <v>320</v>
      </c>
      <c r="F58" s="548"/>
      <c r="G58" s="547"/>
      <c r="H58" s="618"/>
      <c r="I58" s="547"/>
      <c r="J58" s="546"/>
      <c r="K58" s="546" t="s">
        <v>815</v>
      </c>
      <c r="L58" s="546"/>
    </row>
    <row r="59" spans="1:12" s="619" customFormat="1" ht="14.25" customHeight="1" x14ac:dyDescent="0.25">
      <c r="A59" s="546" t="s">
        <v>1613</v>
      </c>
      <c r="B59" s="546" t="s">
        <v>1614</v>
      </c>
      <c r="C59" s="546"/>
      <c r="D59" s="618">
        <v>8.3000000000000007</v>
      </c>
      <c r="E59" s="547">
        <v>0</v>
      </c>
      <c r="F59" s="548"/>
      <c r="G59" s="547"/>
      <c r="H59" s="618"/>
      <c r="I59" s="547"/>
      <c r="J59" s="546"/>
      <c r="K59" s="546" t="s">
        <v>796</v>
      </c>
      <c r="L59" s="546"/>
    </row>
    <row r="60" spans="1:12" s="619" customFormat="1" ht="14.25" customHeight="1" x14ac:dyDescent="0.25">
      <c r="A60" s="546" t="s">
        <v>1615</v>
      </c>
      <c r="B60" s="546" t="s">
        <v>1616</v>
      </c>
      <c r="C60" s="546"/>
      <c r="D60" s="618">
        <v>1281.78</v>
      </c>
      <c r="E60" s="547">
        <v>10800</v>
      </c>
      <c r="F60" s="548"/>
      <c r="G60" s="547"/>
      <c r="H60" s="618"/>
      <c r="I60" s="547"/>
      <c r="J60" s="546"/>
      <c r="K60" s="546" t="s">
        <v>824</v>
      </c>
      <c r="L60" s="546"/>
    </row>
    <row r="61" spans="1:12" s="619" customFormat="1" ht="14.25" customHeight="1" x14ac:dyDescent="0.25">
      <c r="A61" s="546" t="s">
        <v>1617</v>
      </c>
      <c r="B61" s="546" t="s">
        <v>1618</v>
      </c>
      <c r="C61" s="546"/>
      <c r="D61" s="618">
        <v>461.8</v>
      </c>
      <c r="E61" s="547">
        <v>2700</v>
      </c>
      <c r="F61" s="548"/>
      <c r="G61" s="547"/>
      <c r="H61" s="618"/>
      <c r="I61" s="547"/>
      <c r="J61" s="546"/>
      <c r="K61" s="546" t="s">
        <v>805</v>
      </c>
      <c r="L61" s="546"/>
    </row>
    <row r="62" spans="1:12" s="619" customFormat="1" ht="14.25" customHeight="1" x14ac:dyDescent="0.25">
      <c r="A62" s="546" t="s">
        <v>1738</v>
      </c>
      <c r="B62" s="546"/>
      <c r="C62" s="546"/>
      <c r="D62" s="618">
        <v>22.58</v>
      </c>
      <c r="E62" s="547">
        <v>80</v>
      </c>
      <c r="F62" s="548"/>
      <c r="G62" s="547"/>
      <c r="H62" s="618"/>
      <c r="I62" s="547"/>
      <c r="J62" s="546"/>
      <c r="K62" s="546" t="s">
        <v>759</v>
      </c>
      <c r="L62" s="546"/>
    </row>
    <row r="63" spans="1:12" s="619" customFormat="1" ht="14.25" customHeight="1" x14ac:dyDescent="0.25">
      <c r="A63" s="546" t="s">
        <v>1619</v>
      </c>
      <c r="B63" s="546" t="s">
        <v>1620</v>
      </c>
      <c r="C63" s="546"/>
      <c r="D63" s="618">
        <v>325.02</v>
      </c>
      <c r="E63" s="547">
        <v>1400</v>
      </c>
      <c r="F63" s="548"/>
      <c r="G63" s="547"/>
      <c r="H63" s="618"/>
      <c r="I63" s="547"/>
      <c r="J63" s="546"/>
      <c r="K63" s="546" t="s">
        <v>806</v>
      </c>
      <c r="L63" s="546"/>
    </row>
    <row r="64" spans="1:12" s="619" customFormat="1" ht="14.25" customHeight="1" x14ac:dyDescent="0.25">
      <c r="A64" s="546" t="s">
        <v>1621</v>
      </c>
      <c r="B64" s="546" t="s">
        <v>1622</v>
      </c>
      <c r="C64" s="546"/>
      <c r="D64" s="618">
        <v>178.59</v>
      </c>
      <c r="E64" s="547">
        <v>600</v>
      </c>
      <c r="F64" s="548"/>
      <c r="G64" s="547"/>
      <c r="H64" s="618"/>
      <c r="I64" s="547"/>
      <c r="J64" s="546"/>
      <c r="K64" s="546" t="s">
        <v>778</v>
      </c>
      <c r="L64" s="546"/>
    </row>
    <row r="65" spans="1:36" s="619" customFormat="1" ht="14.25" customHeight="1" x14ac:dyDescent="0.25">
      <c r="A65" s="546" t="s">
        <v>1621</v>
      </c>
      <c r="B65" s="546" t="s">
        <v>1623</v>
      </c>
      <c r="C65" s="546"/>
      <c r="D65" s="618">
        <v>864.19</v>
      </c>
      <c r="E65" s="547">
        <v>4880</v>
      </c>
      <c r="F65" s="548"/>
      <c r="G65" s="547"/>
      <c r="H65" s="618"/>
      <c r="I65" s="547"/>
      <c r="J65" s="546"/>
      <c r="K65" s="546" t="s">
        <v>1624</v>
      </c>
      <c r="L65" s="546"/>
    </row>
    <row r="66" spans="1:36" s="619" customFormat="1" ht="14.25" customHeight="1" x14ac:dyDescent="0.25">
      <c r="A66" s="546" t="s">
        <v>869</v>
      </c>
      <c r="B66" s="546" t="s">
        <v>1625</v>
      </c>
      <c r="C66" s="546"/>
      <c r="D66" s="618">
        <v>8.1300000000000008</v>
      </c>
      <c r="E66" s="547">
        <v>0</v>
      </c>
      <c r="F66" s="548"/>
      <c r="G66" s="547"/>
      <c r="H66" s="618"/>
      <c r="I66" s="547"/>
      <c r="J66" s="546"/>
      <c r="K66" s="546" t="s">
        <v>803</v>
      </c>
      <c r="L66" s="546"/>
    </row>
    <row r="67" spans="1:36" s="619" customFormat="1" ht="14.25" customHeight="1" x14ac:dyDescent="0.25">
      <c r="A67" s="546" t="s">
        <v>1677</v>
      </c>
      <c r="B67" s="546"/>
      <c r="C67" s="546"/>
      <c r="D67" s="618">
        <v>84.43</v>
      </c>
      <c r="E67" s="547">
        <v>1102</v>
      </c>
      <c r="F67" s="548"/>
      <c r="G67" s="547"/>
      <c r="H67" s="618"/>
      <c r="I67" s="547"/>
      <c r="J67" s="546"/>
      <c r="K67" s="546" t="s">
        <v>814</v>
      </c>
      <c r="L67" s="546"/>
    </row>
    <row r="68" spans="1:36" s="619" customFormat="1" ht="14.25" customHeight="1" x14ac:dyDescent="0.25">
      <c r="A68" s="546" t="s">
        <v>849</v>
      </c>
      <c r="B68" s="546" t="s">
        <v>1626</v>
      </c>
      <c r="C68" s="546"/>
      <c r="D68" s="618">
        <v>618.33000000000004</v>
      </c>
      <c r="E68" s="547">
        <v>11272</v>
      </c>
      <c r="F68" s="548"/>
      <c r="G68" s="547"/>
      <c r="H68" s="618"/>
      <c r="I68" s="547"/>
      <c r="J68" s="546"/>
      <c r="K68" s="546" t="s">
        <v>788</v>
      </c>
      <c r="L68" s="546"/>
    </row>
    <row r="69" spans="1:36" s="619" customFormat="1" ht="14.25" customHeight="1" x14ac:dyDescent="0.25">
      <c r="A69" s="546" t="s">
        <v>1627</v>
      </c>
      <c r="B69" s="546" t="s">
        <v>1628</v>
      </c>
      <c r="C69" s="546"/>
      <c r="D69" s="618">
        <v>149.81</v>
      </c>
      <c r="E69" s="547">
        <v>800</v>
      </c>
      <c r="F69" s="548"/>
      <c r="G69" s="547"/>
      <c r="H69" s="618"/>
      <c r="I69" s="547"/>
      <c r="J69" s="546"/>
      <c r="K69" s="546" t="s">
        <v>786</v>
      </c>
      <c r="L69" s="546"/>
    </row>
    <row r="70" spans="1:36" s="619" customFormat="1" ht="14.25" customHeight="1" x14ac:dyDescent="0.25">
      <c r="A70" s="546" t="s">
        <v>1629</v>
      </c>
      <c r="B70" s="546" t="s">
        <v>1630</v>
      </c>
      <c r="C70" s="546"/>
      <c r="D70" s="618">
        <v>263.89</v>
      </c>
      <c r="E70" s="547">
        <v>2486</v>
      </c>
      <c r="F70" s="548"/>
      <c r="G70" s="547"/>
      <c r="H70" s="618"/>
      <c r="I70" s="547"/>
      <c r="J70" s="546"/>
      <c r="K70" s="546" t="s">
        <v>804</v>
      </c>
      <c r="L70" s="546"/>
    </row>
    <row r="71" spans="1:36" s="199" customFormat="1" ht="26.25" x14ac:dyDescent="0.25">
      <c r="A71" s="698" t="s">
        <v>878</v>
      </c>
      <c r="B71" s="687"/>
      <c r="C71" s="249"/>
      <c r="D71" s="250"/>
      <c r="E71" s="750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289"/>
      <c r="D72" s="269">
        <v>215</v>
      </c>
      <c r="E72" s="757">
        <v>1799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289"/>
      <c r="D73" s="269">
        <v>184</v>
      </c>
      <c r="E73" s="757">
        <v>1272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54</v>
      </c>
      <c r="B74" s="681">
        <v>7039100</v>
      </c>
      <c r="C74" s="289"/>
      <c r="D74" s="269">
        <v>126</v>
      </c>
      <c r="E74" s="757">
        <v>687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/>
      <c r="D75" s="269">
        <v>50</v>
      </c>
      <c r="E75" s="757">
        <v>129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/>
      <c r="D76" s="269">
        <v>45</v>
      </c>
      <c r="E76" s="757">
        <v>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/>
      <c r="D77" s="269">
        <v>284</v>
      </c>
      <c r="E77" s="757">
        <v>2268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/>
      <c r="D78" s="269">
        <v>211</v>
      </c>
      <c r="E78" s="757">
        <v>1813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/>
      <c r="D79" s="269">
        <v>75</v>
      </c>
      <c r="E79" s="757">
        <v>377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60</v>
      </c>
      <c r="B80" s="681" t="s">
        <v>217</v>
      </c>
      <c r="C80" s="289"/>
      <c r="D80" s="269">
        <v>80</v>
      </c>
      <c r="E80" s="757">
        <v>224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/>
      <c r="D81" s="269">
        <v>38</v>
      </c>
      <c r="E81" s="757">
        <v>2268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/>
      <c r="D82" s="269">
        <v>107</v>
      </c>
      <c r="E82" s="757">
        <v>697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/>
      <c r="D83" s="269">
        <v>84.11</v>
      </c>
      <c r="E83" s="757">
        <v>272</v>
      </c>
      <c r="F83" s="544"/>
      <c r="G83" s="757"/>
      <c r="H83" s="269"/>
      <c r="I83" s="757"/>
      <c r="J83" s="245"/>
      <c r="K83" s="245"/>
      <c r="L83" s="245"/>
    </row>
    <row r="84" spans="1:12" s="944" customFormat="1" x14ac:dyDescent="0.25">
      <c r="A84" s="938" t="s">
        <v>1797</v>
      </c>
      <c r="B84" s="939" t="s">
        <v>201</v>
      </c>
      <c r="C84" s="940"/>
      <c r="D84" s="941"/>
      <c r="E84" s="942"/>
      <c r="F84" s="943"/>
      <c r="G84" s="942"/>
      <c r="H84" s="941"/>
      <c r="I84" s="942"/>
      <c r="J84" s="940" t="s">
        <v>33</v>
      </c>
      <c r="K84" s="940"/>
      <c r="L84" s="940"/>
    </row>
    <row r="85" spans="1:12" s="184" customFormat="1" x14ac:dyDescent="0.25">
      <c r="A85" s="695" t="s">
        <v>768</v>
      </c>
      <c r="B85" s="681" t="s">
        <v>202</v>
      </c>
      <c r="C85" s="289"/>
      <c r="D85" s="269">
        <v>1505</v>
      </c>
      <c r="E85" s="757">
        <v>12600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582" customFormat="1" x14ac:dyDescent="0.25">
      <c r="A86" s="731" t="s">
        <v>96</v>
      </c>
      <c r="B86" s="732">
        <v>7815400</v>
      </c>
      <c r="C86" s="581"/>
      <c r="D86" s="579"/>
      <c r="E86" s="804"/>
      <c r="F86" s="631"/>
      <c r="G86" s="804"/>
      <c r="H86" s="579"/>
      <c r="I86" s="804"/>
      <c r="J86" s="581" t="s">
        <v>33</v>
      </c>
      <c r="K86" s="581"/>
      <c r="L86" s="581"/>
    </row>
    <row r="87" spans="1:12" s="184" customFormat="1" x14ac:dyDescent="0.25">
      <c r="A87" s="695" t="s">
        <v>97</v>
      </c>
      <c r="B87" s="681" t="s">
        <v>204</v>
      </c>
      <c r="C87" s="245"/>
      <c r="D87" s="269">
        <v>97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/>
      <c r="D88" s="269">
        <v>37</v>
      </c>
      <c r="E88" s="757">
        <v>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/>
      <c r="D89" s="269">
        <v>62</v>
      </c>
      <c r="E89" s="757">
        <v>210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100</v>
      </c>
      <c r="B90" s="768">
        <v>1323346600</v>
      </c>
      <c r="C90" s="245"/>
      <c r="D90" s="269">
        <v>564</v>
      </c>
      <c r="E90" s="757">
        <v>4901.1899999999996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101</v>
      </c>
      <c r="B91" s="768">
        <v>1322699400</v>
      </c>
      <c r="C91" s="289"/>
      <c r="D91" s="269">
        <v>743</v>
      </c>
      <c r="E91" s="757">
        <v>7144.39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677" customFormat="1" x14ac:dyDescent="0.25">
      <c r="A92" s="761" t="s">
        <v>772</v>
      </c>
      <c r="B92" s="769" t="s">
        <v>200</v>
      </c>
      <c r="C92" s="770" t="s">
        <v>1805</v>
      </c>
      <c r="D92" s="674">
        <v>286</v>
      </c>
      <c r="E92" s="771">
        <v>0</v>
      </c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 t="s">
        <v>1805</v>
      </c>
      <c r="D93" s="269">
        <v>170</v>
      </c>
      <c r="E93" s="757">
        <v>678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 t="s">
        <v>1806</v>
      </c>
      <c r="D94" s="269">
        <v>72</v>
      </c>
      <c r="E94" s="757">
        <v>150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 t="s">
        <v>1805</v>
      </c>
      <c r="D95" s="269">
        <v>93</v>
      </c>
      <c r="E95" s="757">
        <v>361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 t="s">
        <v>1805</v>
      </c>
      <c r="D96" s="269">
        <v>77</v>
      </c>
      <c r="E96" s="757">
        <v>394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 t="s">
        <v>1805</v>
      </c>
      <c r="D97" s="269">
        <v>180</v>
      </c>
      <c r="E97" s="757">
        <v>1225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201</v>
      </c>
      <c r="E98" s="757">
        <v>1437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/>
      <c r="D100" s="269"/>
      <c r="E100" s="757"/>
      <c r="F100" s="544"/>
      <c r="G100" s="757"/>
      <c r="H100" s="269">
        <v>98.25</v>
      </c>
      <c r="I100" s="757">
        <v>125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89"/>
      <c r="D101" s="269"/>
      <c r="E101" s="757"/>
      <c r="F101" s="544"/>
      <c r="G101" s="757"/>
      <c r="H101" s="269">
        <v>214.01</v>
      </c>
      <c r="I101" s="757">
        <v>299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/>
      <c r="D102" s="269"/>
      <c r="E102" s="757"/>
      <c r="F102" s="544"/>
      <c r="G102" s="757"/>
      <c r="H102" s="269">
        <v>48.91</v>
      </c>
      <c r="I102" s="757">
        <v>38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/>
      <c r="D104" s="269"/>
      <c r="E104" s="757"/>
      <c r="F104" s="544"/>
      <c r="G104" s="757"/>
      <c r="H104" s="269">
        <v>51.58</v>
      </c>
      <c r="I104" s="757">
        <v>43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/>
      <c r="D105" s="269"/>
      <c r="E105" s="757"/>
      <c r="F105" s="544"/>
      <c r="G105" s="757"/>
      <c r="H105" s="269">
        <v>39.299999999999997</v>
      </c>
      <c r="I105" s="757">
        <v>19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 t="s">
        <v>1805</v>
      </c>
      <c r="D106" s="269"/>
      <c r="E106" s="757"/>
      <c r="F106" s="544"/>
      <c r="G106" s="757"/>
      <c r="H106" s="269">
        <v>45.71</v>
      </c>
      <c r="I106" s="757">
        <v>32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/>
      <c r="D108" s="269"/>
      <c r="E108" s="757"/>
      <c r="F108" s="544"/>
      <c r="G108" s="757"/>
      <c r="H108" s="269">
        <v>115.77</v>
      </c>
      <c r="I108" s="757">
        <v>152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/>
      <c r="D109" s="269"/>
      <c r="E109" s="757"/>
      <c r="F109" s="544"/>
      <c r="G109" s="757"/>
      <c r="H109" s="269">
        <v>39.299999999999997</v>
      </c>
      <c r="I109" s="757">
        <v>14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89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774"/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/>
      <c r="D114" s="269"/>
      <c r="E114" s="757"/>
      <c r="F114" s="544"/>
      <c r="G114" s="757"/>
      <c r="H114" s="269">
        <v>46.24</v>
      </c>
      <c r="I114" s="757">
        <v>33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89"/>
      <c r="D115" s="269"/>
      <c r="E115" s="757"/>
      <c r="F115" s="544"/>
      <c r="G115" s="757"/>
      <c r="H115" s="269">
        <v>39.299999999999997</v>
      </c>
      <c r="I115" s="757">
        <v>9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89"/>
      <c r="D119" s="269"/>
      <c r="E119" s="757"/>
      <c r="F119" s="544"/>
      <c r="G119" s="757"/>
      <c r="H119" s="269">
        <v>138.47999999999999</v>
      </c>
      <c r="I119" s="757">
        <v>187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/>
      <c r="D120" s="269"/>
      <c r="E120" s="757"/>
      <c r="F120" s="544"/>
      <c r="G120" s="757"/>
      <c r="H120" s="269">
        <v>178.07</v>
      </c>
      <c r="I120" s="757">
        <v>248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/>
      <c r="D122" s="269"/>
      <c r="E122" s="757"/>
      <c r="F122" s="544"/>
      <c r="G122" s="757"/>
      <c r="H122" s="269">
        <v>39.299999999999997</v>
      </c>
      <c r="I122" s="757">
        <v>11</v>
      </c>
      <c r="J122" s="245"/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/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/>
      <c r="D125" s="269"/>
      <c r="E125" s="757"/>
      <c r="F125" s="544"/>
      <c r="G125" s="757"/>
      <c r="H125" s="269">
        <v>39.299999999999997</v>
      </c>
      <c r="I125" s="757">
        <v>3</v>
      </c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/>
      <c r="D127" s="269"/>
      <c r="E127" s="757"/>
      <c r="F127" s="544"/>
      <c r="G127" s="757"/>
      <c r="H127" s="269">
        <v>56.13</v>
      </c>
      <c r="I127" s="757">
        <v>4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/>
      <c r="D129" s="269"/>
      <c r="E129" s="757"/>
      <c r="F129" s="544"/>
      <c r="G129" s="757"/>
      <c r="H129" s="269">
        <v>39.299999999999997</v>
      </c>
      <c r="I129" s="757">
        <v>14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/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/>
      <c r="D131" s="269"/>
      <c r="E131" s="757"/>
      <c r="F131" s="544"/>
      <c r="G131" s="757"/>
      <c r="H131" s="269">
        <v>39.299999999999997</v>
      </c>
      <c r="I131" s="757">
        <v>20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/>
      <c r="D133" s="269"/>
      <c r="E133" s="757"/>
      <c r="F133" s="544"/>
      <c r="G133" s="757"/>
      <c r="H133" s="269">
        <v>290.77999999999997</v>
      </c>
      <c r="I133" s="757">
        <v>4070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/>
      <c r="D134" s="269"/>
      <c r="E134" s="757"/>
      <c r="F134" s="544"/>
      <c r="G134" s="757"/>
      <c r="H134" s="269">
        <v>39.299999999999997</v>
      </c>
      <c r="I134" s="757">
        <v>8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 t="s">
        <v>1810</v>
      </c>
      <c r="D135" s="269"/>
      <c r="E135" s="757"/>
      <c r="F135" s="544"/>
      <c r="G135" s="757"/>
      <c r="H135" s="269">
        <v>2832.11</v>
      </c>
      <c r="I135" s="757">
        <v>3729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/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/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/>
      <c r="D138" s="269"/>
      <c r="E138" s="757"/>
      <c r="F138" s="544"/>
      <c r="G138" s="757"/>
      <c r="H138" s="269">
        <v>39.299999999999997</v>
      </c>
      <c r="I138" s="757">
        <v>20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/>
      <c r="D139" s="269"/>
      <c r="E139" s="757"/>
      <c r="F139" s="544"/>
      <c r="G139" s="757"/>
      <c r="H139" s="269">
        <v>338.21</v>
      </c>
      <c r="I139" s="757">
        <v>469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/>
      <c r="D140" s="269"/>
      <c r="E140" s="757"/>
      <c r="F140" s="544"/>
      <c r="G140" s="757"/>
      <c r="H140" s="269">
        <v>264.20999999999998</v>
      </c>
      <c r="I140" s="757">
        <v>370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 t="s">
        <v>1810</v>
      </c>
      <c r="D141" s="269"/>
      <c r="E141" s="757"/>
      <c r="F141" s="544"/>
      <c r="G141" s="757"/>
      <c r="H141" s="269">
        <v>365.75</v>
      </c>
      <c r="I141" s="757">
        <v>505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359" customFormat="1" x14ac:dyDescent="0.25">
      <c r="A143" s="929" t="s">
        <v>107</v>
      </c>
      <c r="B143" s="930">
        <v>67</v>
      </c>
      <c r="C143" s="518"/>
      <c r="D143" s="356"/>
      <c r="E143" s="758"/>
      <c r="F143" s="717"/>
      <c r="G143" s="758"/>
      <c r="H143" s="356"/>
      <c r="I143" s="758"/>
      <c r="J143" s="355"/>
      <c r="K143" s="355"/>
      <c r="L143" s="355"/>
    </row>
    <row r="144" spans="1:36" s="184" customFormat="1" x14ac:dyDescent="0.25">
      <c r="A144" s="695" t="s">
        <v>109</v>
      </c>
      <c r="B144" s="775">
        <v>95</v>
      </c>
      <c r="C144" s="245"/>
      <c r="D144" s="269"/>
      <c r="E144" s="757"/>
      <c r="F144" s="544"/>
      <c r="G144" s="757"/>
      <c r="H144" s="955">
        <v>240</v>
      </c>
      <c r="I144" s="964">
        <v>2000</v>
      </c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359" customFormat="1" x14ac:dyDescent="0.25">
      <c r="A146" s="929" t="s">
        <v>1137</v>
      </c>
      <c r="B146" s="974">
        <v>61</v>
      </c>
      <c r="C146" s="518"/>
      <c r="D146" s="356"/>
      <c r="E146" s="758"/>
      <c r="F146" s="717"/>
      <c r="G146" s="758"/>
      <c r="H146" s="356"/>
      <c r="I146" s="758"/>
      <c r="J146" s="355"/>
      <c r="K146" s="355"/>
      <c r="L146" s="355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17" sqref="D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1811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48"/>
      <c r="B4" s="949"/>
      <c r="C4" s="949"/>
      <c r="D4" s="949"/>
      <c r="E4" s="949"/>
      <c r="F4" s="949"/>
      <c r="G4" s="95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194286.25</v>
      </c>
      <c r="D13" s="34"/>
      <c r="E13" s="35" t="s">
        <v>33</v>
      </c>
      <c r="F13" s="34"/>
      <c r="G13" s="42">
        <v>19159.32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8360</v>
      </c>
      <c r="D15" s="34"/>
      <c r="E15" s="35" t="s">
        <v>10</v>
      </c>
      <c r="F15" s="34"/>
      <c r="G15" s="42">
        <v>5966.94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18586</v>
      </c>
      <c r="D17" s="34"/>
      <c r="E17" s="35" t="s">
        <v>278</v>
      </c>
      <c r="F17" s="34"/>
      <c r="G17" s="42">
        <v>5158.6499999999996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32" activePane="bottomLeft" state="frozen"/>
      <selection pane="bottomLeft" activeCell="H22" sqref="H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955" bestFit="1" customWidth="1"/>
    <col min="9" max="9" width="8.28515625" style="964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952" t="s">
        <v>1047</v>
      </c>
      <c r="I1" s="961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953"/>
      <c r="I2" s="962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2047.75</v>
      </c>
      <c r="G3" s="763">
        <v>3247</v>
      </c>
      <c r="H3" s="954"/>
      <c r="I3" s="9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955"/>
      <c r="I4" s="964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1795</v>
      </c>
      <c r="D5" s="328"/>
      <c r="E5" s="763"/>
      <c r="F5" s="620">
        <v>605.76</v>
      </c>
      <c r="G5" s="763">
        <v>894</v>
      </c>
      <c r="H5" s="954"/>
      <c r="I5" s="9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306.70999999999998</v>
      </c>
      <c r="G6" s="757">
        <v>406</v>
      </c>
      <c r="H6" s="955"/>
      <c r="I6" s="964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114.83</v>
      </c>
      <c r="G7" s="757">
        <v>81</v>
      </c>
      <c r="H7" s="955"/>
      <c r="I7" s="964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125.06</v>
      </c>
      <c r="G8" s="757">
        <v>110</v>
      </c>
      <c r="H8" s="955"/>
      <c r="I8" s="964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1800</v>
      </c>
      <c r="D9" s="269"/>
      <c r="E9" s="757"/>
      <c r="F9" s="544">
        <v>743.91</v>
      </c>
      <c r="G9" s="757">
        <v>1119</v>
      </c>
      <c r="H9" s="955"/>
      <c r="I9" s="964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209.32</v>
      </c>
      <c r="G10" s="757">
        <v>223</v>
      </c>
      <c r="H10" s="955"/>
      <c r="I10" s="964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1795</v>
      </c>
      <c r="D11" s="269"/>
      <c r="E11" s="757"/>
      <c r="F11" s="544">
        <v>62.69</v>
      </c>
      <c r="G11" s="757">
        <v>81</v>
      </c>
      <c r="H11" s="955"/>
      <c r="I11" s="964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68.39</v>
      </c>
      <c r="G12" s="757">
        <v>8</v>
      </c>
      <c r="H12" s="955"/>
      <c r="I12" s="964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69.5</v>
      </c>
      <c r="G13" s="757">
        <v>17</v>
      </c>
      <c r="H13" s="955"/>
      <c r="I13" s="964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955"/>
      <c r="I14" s="964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188.43</v>
      </c>
      <c r="G15" s="757">
        <v>213</v>
      </c>
      <c r="H15" s="955"/>
      <c r="I15" s="964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704</v>
      </c>
      <c r="G16" s="757">
        <v>991</v>
      </c>
      <c r="H16" s="955"/>
      <c r="I16" s="964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143.85</v>
      </c>
      <c r="G17" s="757">
        <v>135</v>
      </c>
      <c r="H17" s="955"/>
      <c r="I17" s="964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955"/>
      <c r="I18" s="964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956"/>
      <c r="I19" s="965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1807</v>
      </c>
      <c r="D20" s="618">
        <v>239.66</v>
      </c>
      <c r="E20" s="547">
        <v>2624</v>
      </c>
      <c r="F20" s="548"/>
      <c r="G20" s="547"/>
      <c r="H20" s="957"/>
      <c r="I20" s="966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957"/>
      <c r="I21" s="966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40.64</v>
      </c>
      <c r="E22" s="547">
        <v>480</v>
      </c>
      <c r="F22" s="548"/>
      <c r="G22" s="547"/>
      <c r="H22" s="957"/>
      <c r="I22" s="966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957"/>
      <c r="I23" s="966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52.53</v>
      </c>
      <c r="E24" s="547">
        <v>640</v>
      </c>
      <c r="F24" s="548"/>
      <c r="G24" s="547"/>
      <c r="H24" s="957"/>
      <c r="I24" s="966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369.38</v>
      </c>
      <c r="E25" s="547">
        <v>4520</v>
      </c>
      <c r="F25" s="548"/>
      <c r="G25" s="547"/>
      <c r="H25" s="957"/>
      <c r="I25" s="966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957"/>
      <c r="I26" s="966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118.43</v>
      </c>
      <c r="E27" s="547">
        <v>1594</v>
      </c>
      <c r="F27" s="548"/>
      <c r="G27" s="547"/>
      <c r="H27" s="957"/>
      <c r="I27" s="966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957"/>
      <c r="I28" s="966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24.06</v>
      </c>
      <c r="E29" s="547">
        <v>228</v>
      </c>
      <c r="F29" s="548"/>
      <c r="G29" s="547"/>
      <c r="H29" s="957"/>
      <c r="I29" s="966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142.13999999999999</v>
      </c>
      <c r="E30" s="547">
        <v>1550</v>
      </c>
      <c r="F30" s="548"/>
      <c r="G30" s="547"/>
      <c r="H30" s="957"/>
      <c r="I30" s="966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563.14</v>
      </c>
      <c r="E31" s="547">
        <v>7440</v>
      </c>
      <c r="F31" s="548"/>
      <c r="G31" s="547"/>
      <c r="H31" s="957"/>
      <c r="I31" s="966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957"/>
      <c r="I32" s="966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957"/>
      <c r="I33" s="966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302.62</v>
      </c>
      <c r="E34" s="547">
        <v>2591</v>
      </c>
      <c r="F34" s="548"/>
      <c r="G34" s="547"/>
      <c r="H34" s="957"/>
      <c r="I34" s="966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957"/>
      <c r="I35" s="966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93.84</v>
      </c>
      <c r="E36" s="547">
        <v>1238</v>
      </c>
      <c r="F36" s="548"/>
      <c r="G36" s="547"/>
      <c r="H36" s="957"/>
      <c r="I36" s="966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18.68</v>
      </c>
      <c r="E37" s="547">
        <v>150</v>
      </c>
      <c r="F37" s="548"/>
      <c r="G37" s="547"/>
      <c r="H37" s="957"/>
      <c r="I37" s="966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3223.45</v>
      </c>
      <c r="E38" s="547">
        <v>52600</v>
      </c>
      <c r="F38" s="548"/>
      <c r="G38" s="547"/>
      <c r="H38" s="957"/>
      <c r="I38" s="966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96.8</v>
      </c>
      <c r="E39" s="547">
        <v>1281</v>
      </c>
      <c r="F39" s="548"/>
      <c r="G39" s="547"/>
      <c r="H39" s="957"/>
      <c r="I39" s="966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29.04</v>
      </c>
      <c r="E40" s="547">
        <v>300</v>
      </c>
      <c r="F40" s="548"/>
      <c r="G40" s="547"/>
      <c r="H40" s="957"/>
      <c r="I40" s="966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957"/>
      <c r="I41" s="966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957"/>
      <c r="I42" s="966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957"/>
      <c r="I43" s="966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859.61</v>
      </c>
      <c r="E44" s="547">
        <v>9480</v>
      </c>
      <c r="F44" s="548"/>
      <c r="G44" s="547"/>
      <c r="H44" s="957"/>
      <c r="I44" s="966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957"/>
      <c r="I45" s="966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67.72</v>
      </c>
      <c r="E46" s="547">
        <v>860</v>
      </c>
      <c r="F46" s="548"/>
      <c r="G46" s="547"/>
      <c r="H46" s="957"/>
      <c r="I46" s="966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957"/>
      <c r="I47" s="966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957"/>
      <c r="I48" s="966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97.23</v>
      </c>
      <c r="E49" s="547">
        <v>1287</v>
      </c>
      <c r="F49" s="548"/>
      <c r="G49" s="547"/>
      <c r="H49" s="957"/>
      <c r="I49" s="966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222.87</v>
      </c>
      <c r="E50" s="547">
        <v>1765</v>
      </c>
      <c r="F50" s="548"/>
      <c r="G50" s="547"/>
      <c r="H50" s="957"/>
      <c r="I50" s="966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12.46</v>
      </c>
      <c r="E51" s="547">
        <v>60</v>
      </c>
      <c r="F51" s="548"/>
      <c r="G51" s="547"/>
      <c r="H51" s="957"/>
      <c r="I51" s="966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271.58</v>
      </c>
      <c r="E52" s="547">
        <v>3634</v>
      </c>
      <c r="F52" s="548"/>
      <c r="G52" s="547"/>
      <c r="H52" s="957"/>
      <c r="I52" s="966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91.52</v>
      </c>
      <c r="E53" s="547">
        <v>1239</v>
      </c>
      <c r="F53" s="548"/>
      <c r="G53" s="547"/>
      <c r="H53" s="957"/>
      <c r="I53" s="966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957"/>
      <c r="I54" s="966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905.99</v>
      </c>
      <c r="E55" s="547">
        <v>12540</v>
      </c>
      <c r="F55" s="548"/>
      <c r="G55" s="547"/>
      <c r="H55" s="957"/>
      <c r="I55" s="966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102.09</v>
      </c>
      <c r="E56" s="547">
        <v>1387</v>
      </c>
      <c r="F56" s="548"/>
      <c r="G56" s="547"/>
      <c r="H56" s="957"/>
      <c r="I56" s="966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8.3000000000000007</v>
      </c>
      <c r="E57" s="547">
        <v>0</v>
      </c>
      <c r="F57" s="548"/>
      <c r="G57" s="547"/>
      <c r="H57" s="957"/>
      <c r="I57" s="966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957"/>
      <c r="I58" s="966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957"/>
      <c r="I59" s="966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957"/>
      <c r="I60" s="966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1400</v>
      </c>
      <c r="F61" s="548"/>
      <c r="G61" s="547"/>
      <c r="H61" s="957"/>
      <c r="I61" s="966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957"/>
      <c r="I62" s="966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957"/>
      <c r="I63" s="966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957"/>
      <c r="I64" s="966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163.57</v>
      </c>
      <c r="E65" s="547">
        <v>2247</v>
      </c>
      <c r="F65" s="548"/>
      <c r="G65" s="547"/>
      <c r="H65" s="957"/>
      <c r="I65" s="966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609.09</v>
      </c>
      <c r="E66" s="547">
        <v>11014</v>
      </c>
      <c r="F66" s="548"/>
      <c r="G66" s="547"/>
      <c r="H66" s="957"/>
      <c r="I66" s="966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136.32</v>
      </c>
      <c r="E67" s="547">
        <v>720</v>
      </c>
      <c r="F67" s="548"/>
      <c r="G67" s="547"/>
      <c r="H67" s="957"/>
      <c r="I67" s="966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376.75</v>
      </c>
      <c r="E68" s="547">
        <v>3797</v>
      </c>
      <c r="F68" s="548"/>
      <c r="G68" s="547"/>
      <c r="H68" s="957"/>
      <c r="I68" s="966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953"/>
      <c r="I69" s="962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1794</v>
      </c>
      <c r="D70" s="269">
        <v>253</v>
      </c>
      <c r="E70" s="757">
        <v>225</v>
      </c>
      <c r="F70" s="544"/>
      <c r="G70" s="757"/>
      <c r="H70" s="955"/>
      <c r="I70" s="964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160</v>
      </c>
      <c r="E71" s="757">
        <v>1060</v>
      </c>
      <c r="F71" s="544"/>
      <c r="G71" s="757"/>
      <c r="H71" s="955"/>
      <c r="I71" s="964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124</v>
      </c>
      <c r="E72" s="757">
        <v>693</v>
      </c>
      <c r="F72" s="544"/>
      <c r="G72" s="757"/>
      <c r="H72" s="955"/>
      <c r="I72" s="964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47</v>
      </c>
      <c r="E73" s="757">
        <v>98</v>
      </c>
      <c r="F73" s="544"/>
      <c r="G73" s="757"/>
      <c r="H73" s="955"/>
      <c r="I73" s="964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44</v>
      </c>
      <c r="E74" s="757">
        <v>68</v>
      </c>
      <c r="F74" s="544"/>
      <c r="G74" s="757"/>
      <c r="H74" s="955"/>
      <c r="I74" s="964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269</v>
      </c>
      <c r="E75" s="757">
        <v>2188</v>
      </c>
      <c r="F75" s="544"/>
      <c r="G75" s="757"/>
      <c r="H75" s="955"/>
      <c r="I75" s="964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1794</v>
      </c>
      <c r="D76" s="269">
        <v>511</v>
      </c>
      <c r="E76" s="757">
        <v>4971</v>
      </c>
      <c r="F76" s="544"/>
      <c r="G76" s="757"/>
      <c r="H76" s="955"/>
      <c r="I76" s="964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1794</v>
      </c>
      <c r="D77" s="269">
        <v>77</v>
      </c>
      <c r="E77" s="757">
        <v>406</v>
      </c>
      <c r="F77" s="544"/>
      <c r="G77" s="757"/>
      <c r="H77" s="955"/>
      <c r="I77" s="964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1794</v>
      </c>
      <c r="D78" s="269">
        <v>76</v>
      </c>
      <c r="E78" s="757">
        <v>190</v>
      </c>
      <c r="F78" s="544"/>
      <c r="G78" s="757"/>
      <c r="H78" s="955"/>
      <c r="I78" s="964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2</v>
      </c>
      <c r="F79" s="544"/>
      <c r="G79" s="757"/>
      <c r="H79" s="955"/>
      <c r="I79" s="964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68</v>
      </c>
      <c r="E80" s="757">
        <v>312</v>
      </c>
      <c r="F80" s="544"/>
      <c r="G80" s="757"/>
      <c r="H80" s="955"/>
      <c r="I80" s="964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71.5</v>
      </c>
      <c r="E81" s="757">
        <v>150</v>
      </c>
      <c r="F81" s="544"/>
      <c r="G81" s="757"/>
      <c r="H81" s="955"/>
      <c r="I81" s="964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58"/>
      <c r="I82" s="967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97</v>
      </c>
      <c r="E83" s="757">
        <v>0</v>
      </c>
      <c r="F83" s="544"/>
      <c r="G83" s="757"/>
      <c r="H83" s="955"/>
      <c r="I83" s="964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>
        <v>37</v>
      </c>
      <c r="E84" s="757">
        <v>0</v>
      </c>
      <c r="F84" s="544"/>
      <c r="G84" s="757"/>
      <c r="H84" s="955"/>
      <c r="I84" s="964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62</v>
      </c>
      <c r="E85" s="757">
        <v>210</v>
      </c>
      <c r="F85" s="544"/>
      <c r="G85" s="757"/>
      <c r="H85" s="955"/>
      <c r="I85" s="964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564</v>
      </c>
      <c r="E86" s="757">
        <v>4901.1899999999996</v>
      </c>
      <c r="F86" s="544"/>
      <c r="G86" s="757"/>
      <c r="H86" s="955"/>
      <c r="I86" s="964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743</v>
      </c>
      <c r="E87" s="757">
        <v>7144.39</v>
      </c>
      <c r="F87" s="544"/>
      <c r="G87" s="757"/>
      <c r="H87" s="955"/>
      <c r="I87" s="964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1794</v>
      </c>
      <c r="D88" s="269">
        <v>608</v>
      </c>
      <c r="E88" s="757">
        <v>4930.5</v>
      </c>
      <c r="F88" s="544"/>
      <c r="G88" s="757"/>
      <c r="H88" s="955"/>
      <c r="I88" s="964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1794</v>
      </c>
      <c r="D89" s="269">
        <v>468</v>
      </c>
      <c r="E89" s="757">
        <v>4133.41</v>
      </c>
      <c r="F89" s="544"/>
      <c r="G89" s="757"/>
      <c r="H89" s="955"/>
      <c r="I89" s="964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1793</v>
      </c>
      <c r="D90" s="674">
        <v>281</v>
      </c>
      <c r="E90" s="771">
        <v>0</v>
      </c>
      <c r="F90" s="676"/>
      <c r="G90" s="771"/>
      <c r="H90" s="959"/>
      <c r="I90" s="968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170</v>
      </c>
      <c r="E91" s="757">
        <v>678</v>
      </c>
      <c r="F91" s="544"/>
      <c r="G91" s="757"/>
      <c r="H91" s="955"/>
      <c r="I91" s="964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72</v>
      </c>
      <c r="E92" s="757">
        <v>150</v>
      </c>
      <c r="F92" s="544"/>
      <c r="G92" s="757"/>
      <c r="H92" s="955"/>
      <c r="I92" s="964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93</v>
      </c>
      <c r="E93" s="757">
        <v>361</v>
      </c>
      <c r="F93" s="544"/>
      <c r="G93" s="757"/>
      <c r="H93" s="955"/>
      <c r="I93" s="964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77</v>
      </c>
      <c r="E94" s="757">
        <v>394</v>
      </c>
      <c r="F94" s="544"/>
      <c r="G94" s="757"/>
      <c r="H94" s="955"/>
      <c r="I94" s="964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1406</v>
      </c>
      <c r="E95" s="757">
        <v>11280</v>
      </c>
      <c r="F95" s="544"/>
      <c r="G95" s="757"/>
      <c r="H95" s="955"/>
      <c r="I95" s="964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56</v>
      </c>
      <c r="E96" s="757">
        <v>-0.24</v>
      </c>
      <c r="F96" s="544"/>
      <c r="G96" s="757"/>
      <c r="H96" s="955"/>
      <c r="I96" s="964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953"/>
      <c r="I97" s="962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955">
        <v>77.209999999999994</v>
      </c>
      <c r="I98" s="964">
        <v>91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955">
        <v>111.23</v>
      </c>
      <c r="I99" s="964">
        <v>145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955">
        <v>39.299999999999997</v>
      </c>
      <c r="I100" s="964">
        <v>6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955">
        <v>39.299999999999997</v>
      </c>
      <c r="I101" s="964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955">
        <v>69.739999999999995</v>
      </c>
      <c r="I102" s="964">
        <v>77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955">
        <v>39.299999999999997</v>
      </c>
      <c r="I103" s="964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955">
        <v>45.71</v>
      </c>
      <c r="I104" s="964">
        <v>32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955">
        <v>39.299999999999997</v>
      </c>
      <c r="I105" s="964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955">
        <v>104.09</v>
      </c>
      <c r="I106" s="964">
        <v>134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955">
        <v>255.02</v>
      </c>
      <c r="I107" s="964">
        <v>357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955">
        <v>39.299999999999997</v>
      </c>
      <c r="I108" s="964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952">
        <v>39.299999999999997</v>
      </c>
      <c r="I109" s="961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955">
        <v>39.299999999999997</v>
      </c>
      <c r="I110" s="964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1794</v>
      </c>
      <c r="D111" s="269"/>
      <c r="E111" s="757"/>
      <c r="F111" s="544"/>
      <c r="G111" s="757"/>
      <c r="H111" s="955">
        <v>39.299999999999997</v>
      </c>
      <c r="I111" s="964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955" t="s">
        <v>1798</v>
      </c>
      <c r="I112" s="951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955">
        <v>39.299999999999997</v>
      </c>
      <c r="I113" s="964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955">
        <v>39.299999999999997</v>
      </c>
      <c r="I114" s="964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955">
        <v>39.299999999999997</v>
      </c>
      <c r="I115" s="964">
        <v>2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955">
        <v>39.299999999999997</v>
      </c>
      <c r="I116" s="964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955">
        <v>138.47999999999999</v>
      </c>
      <c r="I117" s="964">
        <v>187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955">
        <v>113.82</v>
      </c>
      <c r="I118" s="964">
        <v>149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955">
        <v>39.299999999999997</v>
      </c>
      <c r="I119" s="964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955">
        <v>39.299999999999997</v>
      </c>
      <c r="I120" s="964">
        <v>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955">
        <v>39.299999999999997</v>
      </c>
      <c r="I121" s="964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955">
        <v>39.299999999999997</v>
      </c>
      <c r="I122" s="964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955"/>
      <c r="I123" s="964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955">
        <v>39.299999999999997</v>
      </c>
      <c r="I124" s="964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955"/>
      <c r="I125" s="964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955"/>
      <c r="I126" s="964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955">
        <v>39.299999999999997</v>
      </c>
      <c r="I127" s="964">
        <v>13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955">
        <v>39.299999999999997</v>
      </c>
      <c r="I128" s="964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955"/>
      <c r="I129" s="964"/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955"/>
      <c r="I130" s="964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1796</v>
      </c>
      <c r="D131" s="269"/>
      <c r="E131" s="757"/>
      <c r="F131" s="544"/>
      <c r="G131" s="757"/>
      <c r="H131" s="955">
        <v>206.24</v>
      </c>
      <c r="I131" s="964">
        <v>288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955"/>
      <c r="I132" s="964"/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955">
        <v>2425.13</v>
      </c>
      <c r="I133" s="964">
        <v>3197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1801</v>
      </c>
      <c r="D134" s="269"/>
      <c r="E134" s="757"/>
      <c r="F134" s="544"/>
      <c r="G134" s="757"/>
      <c r="H134" s="955">
        <v>39.299999999999997</v>
      </c>
      <c r="I134" s="964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955"/>
      <c r="I135" s="964"/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955"/>
      <c r="I136" s="964"/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955">
        <v>123.56</v>
      </c>
      <c r="I137" s="964">
        <v>164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955">
        <v>93.7</v>
      </c>
      <c r="I138" s="964">
        <v>118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1796</v>
      </c>
      <c r="D139" s="269"/>
      <c r="E139" s="757"/>
      <c r="F139" s="544"/>
      <c r="G139" s="757"/>
      <c r="H139" s="955">
        <v>228.86</v>
      </c>
      <c r="I139" s="964">
        <v>320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953"/>
      <c r="I140" s="962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1808</v>
      </c>
      <c r="D141" s="269"/>
      <c r="E141" s="757"/>
      <c r="F141" s="544"/>
      <c r="G141" s="757"/>
      <c r="H141" s="955" t="s">
        <v>1808</v>
      </c>
      <c r="I141" s="964" t="s">
        <v>1808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955">
        <v>240</v>
      </c>
      <c r="I142" s="964">
        <v>2000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953"/>
      <c r="I143" s="962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955"/>
      <c r="I144" s="964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953"/>
      <c r="I145" s="962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1803</v>
      </c>
      <c r="D146" s="269"/>
      <c r="E146" s="757"/>
      <c r="F146" s="544"/>
      <c r="G146" s="757"/>
      <c r="H146" s="955">
        <v>35</v>
      </c>
      <c r="I146" s="964">
        <v>100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953"/>
      <c r="I147" s="962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1802</v>
      </c>
      <c r="D148" s="269"/>
      <c r="E148" s="757"/>
      <c r="F148" s="544"/>
      <c r="G148" s="757"/>
      <c r="H148" s="955">
        <v>104.86</v>
      </c>
      <c r="I148" s="964">
        <v>178470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960"/>
      <c r="I149" s="969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955"/>
      <c r="I150" s="964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955"/>
      <c r="I151" s="964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955"/>
      <c r="I152" s="964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955"/>
      <c r="I153" s="964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955"/>
      <c r="I154" s="964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955"/>
      <c r="I155" s="964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955"/>
      <c r="I156" s="964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955"/>
      <c r="I157" s="964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955"/>
      <c r="I158" s="964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955"/>
      <c r="I159" s="964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955"/>
      <c r="I160" s="964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955"/>
      <c r="I161" s="964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955"/>
      <c r="I162" s="964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955"/>
      <c r="I163" s="964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955"/>
      <c r="I164" s="964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955"/>
      <c r="I165" s="964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955"/>
      <c r="I166" s="964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955"/>
      <c r="I167" s="964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955"/>
      <c r="I168" s="964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955"/>
      <c r="I169" s="964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955"/>
      <c r="I170" s="964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955"/>
      <c r="I171" s="964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955"/>
      <c r="I172" s="964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955"/>
      <c r="I173" s="964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955"/>
      <c r="I174" s="964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955"/>
      <c r="I175" s="964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955"/>
      <c r="I176" s="964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955"/>
      <c r="I177" s="964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955"/>
      <c r="I178" s="964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955"/>
      <c r="I179" s="964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955"/>
      <c r="I180" s="964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955"/>
      <c r="I181" s="964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955"/>
      <c r="I182" s="964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955"/>
      <c r="I183" s="964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955"/>
      <c r="I184" s="964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955"/>
      <c r="I185" s="964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955"/>
      <c r="I186" s="964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955"/>
      <c r="I187" s="964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955"/>
      <c r="I188" s="964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955"/>
      <c r="I189" s="964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955"/>
      <c r="I190" s="964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955"/>
      <c r="I191" s="964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955"/>
      <c r="I192" s="964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955"/>
      <c r="I193" s="964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955"/>
      <c r="I194" s="964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955"/>
      <c r="I195" s="964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955"/>
      <c r="I196" s="964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955"/>
      <c r="I197" s="964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955"/>
      <c r="I198" s="964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955"/>
      <c r="I199" s="964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955"/>
      <c r="I200" s="964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955"/>
      <c r="I201" s="964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955"/>
      <c r="I202" s="964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955"/>
      <c r="I203" s="964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955"/>
      <c r="I204" s="964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955"/>
      <c r="I205" s="964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955"/>
      <c r="I206" s="964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955"/>
      <c r="I207" s="964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955"/>
      <c r="I208" s="964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955"/>
      <c r="I209" s="964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955"/>
      <c r="I210" s="964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955"/>
      <c r="I211" s="964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955"/>
      <c r="I212" s="964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955"/>
      <c r="I213" s="964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955"/>
      <c r="I214" s="964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955"/>
      <c r="I215" s="964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955"/>
      <c r="I216" s="964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955"/>
      <c r="I217" s="964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955"/>
      <c r="I218" s="964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955"/>
      <c r="I219" s="964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955"/>
      <c r="I220" s="964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955"/>
      <c r="I221" s="964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955"/>
      <c r="I222" s="964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955"/>
      <c r="I223" s="964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955"/>
      <c r="I224" s="964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955"/>
      <c r="I225" s="964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955"/>
      <c r="I226" s="964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955"/>
      <c r="I227" s="964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955"/>
      <c r="I228" s="964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955"/>
      <c r="I229" s="964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955"/>
      <c r="I230" s="964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955"/>
      <c r="I231" s="964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955"/>
      <c r="I232" s="964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955"/>
      <c r="I233" s="964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955"/>
      <c r="I234" s="964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955"/>
      <c r="I235" s="964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955"/>
      <c r="I236" s="964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955"/>
      <c r="I237" s="964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955"/>
      <c r="I238" s="964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955"/>
      <c r="I239" s="964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955"/>
      <c r="I240" s="964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955"/>
      <c r="I241" s="964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955"/>
      <c r="I242" s="964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955"/>
      <c r="I243" s="964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955"/>
      <c r="I244" s="964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955"/>
      <c r="I245" s="964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955"/>
      <c r="I246" s="964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955"/>
      <c r="I247" s="964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955"/>
      <c r="I248" s="964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955"/>
      <c r="I249" s="964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955"/>
      <c r="I250" s="964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955"/>
      <c r="I251" s="964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955"/>
      <c r="I252" s="964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955"/>
      <c r="I253" s="964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955"/>
      <c r="I254" s="964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955"/>
      <c r="I255" s="964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955"/>
      <c r="I256" s="964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955"/>
      <c r="I257" s="964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6" sqref="C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1799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45"/>
      <c r="B4" s="946"/>
      <c r="C4" s="946"/>
      <c r="D4" s="946"/>
      <c r="E4" s="946"/>
      <c r="F4" s="946"/>
      <c r="G4" s="94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189451.47</v>
      </c>
      <c r="D13" s="34"/>
      <c r="E13" s="35" t="s">
        <v>33</v>
      </c>
      <c r="F13" s="34"/>
      <c r="G13" s="42">
        <v>18855.78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10376</v>
      </c>
      <c r="D15" s="34"/>
      <c r="E15" s="35" t="s">
        <v>10</v>
      </c>
      <c r="F15" s="34"/>
      <c r="G15" s="42">
        <v>6571.26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6965</v>
      </c>
      <c r="D17" s="34"/>
      <c r="E17" s="35" t="s">
        <v>278</v>
      </c>
      <c r="F17" s="34"/>
      <c r="G17" s="42">
        <v>5260.59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6" activePane="bottomLeft" state="frozen"/>
      <selection pane="bottomLeft" activeCell="H29" sqref="H2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353.08</v>
      </c>
      <c r="G6" s="757">
        <v>455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89" t="s">
        <v>1792</v>
      </c>
      <c r="D7" s="269"/>
      <c r="E7" s="757"/>
      <c r="F7" s="544">
        <v>37.549999999999997</v>
      </c>
      <c r="G7" s="757">
        <v>256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133.1</v>
      </c>
      <c r="G8" s="757">
        <v>115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376.5</v>
      </c>
      <c r="G9" s="757">
        <v>1096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466.99</v>
      </c>
      <c r="G10" s="757">
        <v>628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62.69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94.41</v>
      </c>
      <c r="G13" s="757">
        <v>56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1786</v>
      </c>
      <c r="D14" s="269"/>
      <c r="E14" s="757"/>
      <c r="F14" s="544">
        <v>1342.29</v>
      </c>
      <c r="G14" s="757">
        <v>1970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1787</v>
      </c>
      <c r="D15" s="269"/>
      <c r="E15" s="757"/>
      <c r="F15" s="544">
        <v>177.27</v>
      </c>
      <c r="G15" s="757">
        <v>184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704</v>
      </c>
      <c r="G16" s="757">
        <v>991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143.85</v>
      </c>
      <c r="G17" s="757">
        <v>135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1789</v>
      </c>
      <c r="D20" s="618">
        <v>216.43</v>
      </c>
      <c r="E20" s="547">
        <v>2038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32.49</v>
      </c>
      <c r="E22" s="547">
        <v>256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52.61</v>
      </c>
      <c r="E24" s="547">
        <v>635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361.78</v>
      </c>
      <c r="E25" s="547">
        <v>4440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117.51</v>
      </c>
      <c r="E27" s="547">
        <v>1565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23.37</v>
      </c>
      <c r="E29" s="547">
        <v>216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153.91999999999999</v>
      </c>
      <c r="E30" s="547">
        <v>1412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579.4</v>
      </c>
      <c r="E31" s="547">
        <v>7560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22.7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268.5</v>
      </c>
      <c r="E34" s="547">
        <v>2837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110.1</v>
      </c>
      <c r="E36" s="547">
        <v>1459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17.79</v>
      </c>
      <c r="E37" s="547">
        <v>136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2892.16</v>
      </c>
      <c r="E38" s="547">
        <v>47300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73.540000000000006</v>
      </c>
      <c r="E39" s="547">
        <v>935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835.37</v>
      </c>
      <c r="E44" s="547">
        <v>9060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9.76</v>
      </c>
      <c r="E46" s="547">
        <v>21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38.15</v>
      </c>
      <c r="E49" s="547">
        <v>428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188.77</v>
      </c>
      <c r="E50" s="547">
        <v>1656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8.77</v>
      </c>
      <c r="E51" s="547">
        <v>7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237.59</v>
      </c>
      <c r="E52" s="547">
        <v>2996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99.97</v>
      </c>
      <c r="E53" s="547">
        <v>1279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836.06</v>
      </c>
      <c r="E55" s="547">
        <v>11100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89.8</v>
      </c>
      <c r="E56" s="547">
        <v>1194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1440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 t="s">
        <v>1790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155.75</v>
      </c>
      <c r="E65" s="547">
        <v>2113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538.65</v>
      </c>
      <c r="E66" s="547">
        <v>9135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91.13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325.47000000000003</v>
      </c>
      <c r="E68" s="547">
        <v>3009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232</v>
      </c>
      <c r="E70" s="757">
        <v>2059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161</v>
      </c>
      <c r="E71" s="757">
        <v>1089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122</v>
      </c>
      <c r="E72" s="757">
        <v>678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64</v>
      </c>
      <c r="E73" s="757">
        <v>278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44</v>
      </c>
      <c r="E74" s="757">
        <v>73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311</v>
      </c>
      <c r="E75" s="757">
        <v>2681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439</v>
      </c>
      <c r="E76" s="757">
        <v>432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79</v>
      </c>
      <c r="E77" s="757">
        <v>437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132</v>
      </c>
      <c r="E78" s="757">
        <v>785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47</v>
      </c>
      <c r="E80" s="757">
        <v>97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67.98</v>
      </c>
      <c r="E81" s="757">
        <v>116</v>
      </c>
      <c r="F81" s="544"/>
      <c r="G81" s="757"/>
      <c r="H81" s="269"/>
      <c r="I81" s="757"/>
      <c r="J81" s="245"/>
      <c r="K81" s="245"/>
      <c r="L81" s="245"/>
    </row>
    <row r="82" spans="1:12" s="937" customFormat="1" x14ac:dyDescent="0.25">
      <c r="A82" s="931" t="s">
        <v>621</v>
      </c>
      <c r="B82" s="932" t="s">
        <v>201</v>
      </c>
      <c r="C82" s="933"/>
      <c r="D82" s="934">
        <v>74</v>
      </c>
      <c r="E82" s="935">
        <v>221</v>
      </c>
      <c r="F82" s="936"/>
      <c r="G82" s="935"/>
      <c r="H82" s="934"/>
      <c r="I82" s="935"/>
      <c r="J82" s="933" t="s">
        <v>33</v>
      </c>
      <c r="K82" s="933"/>
      <c r="L82" s="933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1760</v>
      </c>
      <c r="E83" s="757">
        <v>19680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359" customFormat="1" x14ac:dyDescent="0.25">
      <c r="A84" s="929" t="s">
        <v>96</v>
      </c>
      <c r="B84" s="930">
        <v>7815400</v>
      </c>
      <c r="C84" s="355"/>
      <c r="D84" s="356"/>
      <c r="E84" s="758"/>
      <c r="F84" s="717"/>
      <c r="G84" s="758"/>
      <c r="H84" s="356"/>
      <c r="I84" s="758"/>
      <c r="J84" s="355" t="s">
        <v>33</v>
      </c>
      <c r="K84" s="355"/>
      <c r="L84" s="35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483</v>
      </c>
      <c r="E87" s="757">
        <v>4170.84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404</v>
      </c>
      <c r="E88" s="757">
        <v>3495.79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483</v>
      </c>
      <c r="E89" s="757">
        <v>4170.84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/>
      <c r="E93" s="757"/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/>
      <c r="E94" s="757"/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1416</v>
      </c>
      <c r="E95" s="757">
        <v>12240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158</v>
      </c>
      <c r="E96" s="757">
        <v>1063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1788</v>
      </c>
      <c r="D98" s="269"/>
      <c r="E98" s="757"/>
      <c r="F98" s="544"/>
      <c r="G98" s="757"/>
      <c r="H98" s="269">
        <v>83.97</v>
      </c>
      <c r="I98" s="757">
        <v>103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132.63999999999999</v>
      </c>
      <c r="I99" s="757">
        <v>178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46.24</v>
      </c>
      <c r="I102" s="757">
        <v>33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45.17</v>
      </c>
      <c r="I104" s="757">
        <v>31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126.15</v>
      </c>
      <c r="I106" s="757">
        <v>168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6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202.7</v>
      </c>
      <c r="I117" s="757">
        <v>283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52.65</v>
      </c>
      <c r="I118" s="757">
        <v>45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5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1788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45.71</v>
      </c>
      <c r="I126" s="757">
        <v>32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44.11</v>
      </c>
      <c r="I129" s="757">
        <v>29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206.24</v>
      </c>
      <c r="I131" s="757">
        <v>288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2455.73</v>
      </c>
      <c r="I133" s="757">
        <v>3237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39.299999999999997</v>
      </c>
      <c r="I136" s="757">
        <v>8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238.76</v>
      </c>
      <c r="I137" s="757">
        <v>334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178.72</v>
      </c>
      <c r="I138" s="757">
        <v>249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>
        <v>100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280</v>
      </c>
      <c r="I142" s="757">
        <v>1900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5" sqref="E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1791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26"/>
      <c r="B4" s="927"/>
      <c r="C4" s="927"/>
      <c r="D4" s="927"/>
      <c r="E4" s="927"/>
      <c r="F4" s="927"/>
      <c r="G4" s="92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194101</v>
      </c>
      <c r="D13" s="34"/>
      <c r="E13" s="35" t="s">
        <v>33</v>
      </c>
      <c r="F13" s="34"/>
      <c r="G13" s="42">
        <v>18571.78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8676</v>
      </c>
      <c r="D15" s="34"/>
      <c r="E15" s="35" t="s">
        <v>10</v>
      </c>
      <c r="F15" s="34"/>
      <c r="G15" s="42">
        <v>6330.76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4749</v>
      </c>
      <c r="D17" s="34"/>
      <c r="E17" s="35" t="s">
        <v>278</v>
      </c>
      <c r="F17" s="34"/>
      <c r="G17" s="42">
        <v>6585.07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544" customWidth="1"/>
    <col min="5" max="5" width="8.42578125" style="106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4" t="s">
        <v>1048</v>
      </c>
      <c r="E1" s="1065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543"/>
      <c r="E2" s="1066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2217</v>
      </c>
      <c r="D3" s="620"/>
      <c r="E3" s="1064"/>
      <c r="F3" s="620">
        <v>646.98</v>
      </c>
      <c r="G3" s="1064">
        <v>712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2195</v>
      </c>
      <c r="D4" s="544"/>
      <c r="E4" s="1067"/>
      <c r="F4" s="544">
        <v>79.41</v>
      </c>
      <c r="G4" s="106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2198</v>
      </c>
      <c r="D5" s="620"/>
      <c r="E5" s="1064"/>
      <c r="F5" s="620">
        <v>85.9</v>
      </c>
      <c r="G5" s="1064">
        <v>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2197</v>
      </c>
      <c r="D6" s="544"/>
      <c r="E6" s="1067"/>
      <c r="F6" s="544">
        <v>81.02</v>
      </c>
      <c r="G6" s="1067">
        <v>16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2194</v>
      </c>
      <c r="D7" s="544"/>
      <c r="E7" s="1067"/>
      <c r="F7" s="544">
        <v>102.82</v>
      </c>
      <c r="G7" s="106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2195</v>
      </c>
      <c r="D8" s="544"/>
      <c r="E8" s="1067"/>
      <c r="F8" s="544">
        <v>88.33</v>
      </c>
      <c r="G8" s="1067">
        <v>25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2195</v>
      </c>
      <c r="D9" s="544"/>
      <c r="E9" s="1067"/>
      <c r="F9" s="544">
        <v>98.91</v>
      </c>
      <c r="G9" s="1067">
        <v>38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2195</v>
      </c>
      <c r="D10" s="544"/>
      <c r="E10" s="1067"/>
      <c r="F10" s="544">
        <v>89.47</v>
      </c>
      <c r="G10" s="1067">
        <v>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2194</v>
      </c>
      <c r="D11" s="544"/>
      <c r="E11" s="1067"/>
      <c r="F11" s="544">
        <v>105.71</v>
      </c>
      <c r="G11" s="106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2195</v>
      </c>
      <c r="D12" s="544"/>
      <c r="E12" s="1067"/>
      <c r="F12" s="544">
        <v>68.010000000000005</v>
      </c>
      <c r="G12" s="106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2195</v>
      </c>
      <c r="D13" s="544"/>
      <c r="E13" s="1067"/>
      <c r="F13" s="544">
        <v>74.52</v>
      </c>
      <c r="G13" s="1067">
        <v>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2197</v>
      </c>
      <c r="D14" s="544"/>
      <c r="E14" s="1067"/>
      <c r="F14" s="544">
        <v>72.900000000000006</v>
      </c>
      <c r="G14" s="106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2195</v>
      </c>
      <c r="D15" s="544"/>
      <c r="E15" s="1067"/>
      <c r="F15" s="544">
        <v>115.99</v>
      </c>
      <c r="G15" s="1067">
        <v>59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2201</v>
      </c>
      <c r="D16" s="544"/>
      <c r="E16" s="1067"/>
      <c r="F16" s="544">
        <v>35.200000000000003</v>
      </c>
      <c r="G16" s="1067">
        <v>10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2201</v>
      </c>
      <c r="D17" s="544"/>
      <c r="E17" s="1067"/>
      <c r="F17" s="544">
        <v>68.010000000000005</v>
      </c>
      <c r="G17" s="106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543"/>
      <c r="E18" s="1066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2204</v>
      </c>
      <c r="D19" s="292">
        <v>331.51</v>
      </c>
      <c r="E19" s="1067">
        <v>3970</v>
      </c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2206</v>
      </c>
      <c r="D20" s="292">
        <v>6.88</v>
      </c>
      <c r="E20" s="1067">
        <v>0</v>
      </c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2204</v>
      </c>
      <c r="D21" s="292">
        <v>204.47</v>
      </c>
      <c r="E21" s="1067">
        <v>2390</v>
      </c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2204</v>
      </c>
      <c r="D22" s="292">
        <v>17.59</v>
      </c>
      <c r="E22" s="1067">
        <v>150</v>
      </c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2204</v>
      </c>
      <c r="D23" s="292">
        <v>109.27</v>
      </c>
      <c r="E23" s="1067">
        <v>1212</v>
      </c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2207</v>
      </c>
      <c r="D24" s="292">
        <v>1272.6500000000001</v>
      </c>
      <c r="E24" s="1067">
        <v>14210</v>
      </c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2207</v>
      </c>
      <c r="D25" s="292">
        <v>13.77</v>
      </c>
      <c r="E25" s="1067">
        <v>80</v>
      </c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2208</v>
      </c>
      <c r="D26" s="292">
        <v>111.16</v>
      </c>
      <c r="E26" s="1067">
        <v>1306</v>
      </c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2208</v>
      </c>
      <c r="D27" s="292">
        <v>17.61</v>
      </c>
      <c r="E27" s="1067">
        <v>150</v>
      </c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2208</v>
      </c>
      <c r="D28" s="292">
        <v>18.27</v>
      </c>
      <c r="E28" s="1067">
        <v>141</v>
      </c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2209</v>
      </c>
      <c r="D29" s="292">
        <v>373.74</v>
      </c>
      <c r="E29" s="1067">
        <v>3821</v>
      </c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2204</v>
      </c>
      <c r="D30" s="292">
        <v>867.51</v>
      </c>
      <c r="E30" s="1067">
        <v>10432</v>
      </c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2204</v>
      </c>
      <c r="D31" s="292">
        <v>17.940000000000001</v>
      </c>
      <c r="E31" s="1067">
        <v>150</v>
      </c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2209</v>
      </c>
      <c r="D32" s="292">
        <v>22.52</v>
      </c>
      <c r="E32" s="1067">
        <v>160</v>
      </c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2207</v>
      </c>
      <c r="D33" s="292">
        <v>781.12</v>
      </c>
      <c r="E33" s="1067">
        <v>9342</v>
      </c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2207</v>
      </c>
      <c r="D34" s="292">
        <v>11.04</v>
      </c>
      <c r="E34" s="1067">
        <v>70</v>
      </c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2210</v>
      </c>
      <c r="D35" s="292">
        <v>187.26</v>
      </c>
      <c r="E35" s="1067">
        <v>588</v>
      </c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2210</v>
      </c>
      <c r="D36" s="292">
        <v>17.62</v>
      </c>
      <c r="E36" s="1067">
        <v>124</v>
      </c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2210</v>
      </c>
      <c r="D37" s="292">
        <v>5995.17</v>
      </c>
      <c r="E37" s="1067">
        <v>87963</v>
      </c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2210</v>
      </c>
      <c r="D38" s="292">
        <v>16.09</v>
      </c>
      <c r="E38" s="1067">
        <v>106</v>
      </c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2210</v>
      </c>
      <c r="D39" s="292">
        <v>441.73</v>
      </c>
      <c r="E39" s="1067">
        <v>630</v>
      </c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2207</v>
      </c>
      <c r="D40" s="292">
        <v>20.41</v>
      </c>
      <c r="E40" s="1067">
        <v>140</v>
      </c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2207</v>
      </c>
      <c r="D41" s="292">
        <v>14.87</v>
      </c>
      <c r="E41" s="1067">
        <v>45</v>
      </c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2207</v>
      </c>
      <c r="D42" s="292">
        <v>17.87</v>
      </c>
      <c r="E42" s="1067">
        <v>80</v>
      </c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2207</v>
      </c>
      <c r="D43" s="292">
        <v>1955.97</v>
      </c>
      <c r="E43" s="1067">
        <v>23597</v>
      </c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2207</v>
      </c>
      <c r="D44" s="292">
        <v>11.04</v>
      </c>
      <c r="E44" s="1067">
        <v>70</v>
      </c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2211</v>
      </c>
      <c r="D45" s="292">
        <v>8.61</v>
      </c>
      <c r="E45" s="1067">
        <v>19</v>
      </c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2211</v>
      </c>
      <c r="D46" s="292">
        <v>108.83</v>
      </c>
      <c r="E46" s="1067">
        <v>770</v>
      </c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767" t="s">
        <v>2211</v>
      </c>
      <c r="D47" s="292">
        <v>7.02</v>
      </c>
      <c r="E47" s="1067">
        <v>0</v>
      </c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2208</v>
      </c>
      <c r="D48" s="292">
        <v>145.55000000000001</v>
      </c>
      <c r="E48" s="1067">
        <v>1737</v>
      </c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2207</v>
      </c>
      <c r="D49" s="292">
        <v>391.6</v>
      </c>
      <c r="E49" s="1067">
        <v>3584</v>
      </c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2207</v>
      </c>
      <c r="D50" s="292">
        <v>12.05</v>
      </c>
      <c r="E50" s="1067">
        <v>60</v>
      </c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2210</v>
      </c>
      <c r="D51" s="292">
        <v>524.46</v>
      </c>
      <c r="E51" s="1067">
        <v>6217</v>
      </c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2210</v>
      </c>
      <c r="D52" s="292">
        <v>304.22000000000003</v>
      </c>
      <c r="E52" s="1067">
        <v>2950</v>
      </c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2207</v>
      </c>
      <c r="D53" s="292">
        <v>133.36000000000001</v>
      </c>
      <c r="E53" s="1067">
        <v>450</v>
      </c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2207</v>
      </c>
      <c r="D54" s="292">
        <v>1695.08</v>
      </c>
      <c r="E54" s="1067">
        <v>22322</v>
      </c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2214</v>
      </c>
      <c r="D55" s="292">
        <v>6.88</v>
      </c>
      <c r="E55" s="1067">
        <v>0</v>
      </c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2209</v>
      </c>
      <c r="D56" s="292">
        <v>33.14</v>
      </c>
      <c r="E56" s="1067">
        <v>0</v>
      </c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2207</v>
      </c>
      <c r="D57" s="292">
        <v>1254.06</v>
      </c>
      <c r="E57" s="1067">
        <v>9900</v>
      </c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2207</v>
      </c>
      <c r="D58" s="292">
        <v>458.73</v>
      </c>
      <c r="E58" s="1067">
        <v>2550</v>
      </c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2207</v>
      </c>
      <c r="D59" s="292">
        <v>23.21</v>
      </c>
      <c r="E59" s="1067">
        <v>80</v>
      </c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2207</v>
      </c>
      <c r="D60" s="292">
        <v>295.5</v>
      </c>
      <c r="E60" s="1067">
        <v>1190</v>
      </c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2207</v>
      </c>
      <c r="D61" s="292">
        <v>209.39</v>
      </c>
      <c r="E61" s="1067">
        <v>680</v>
      </c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2207</v>
      </c>
      <c r="D62" s="292">
        <v>837.01</v>
      </c>
      <c r="E62" s="1067">
        <v>4400</v>
      </c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2210</v>
      </c>
      <c r="D63" s="292">
        <v>6.88</v>
      </c>
      <c r="E63" s="1067">
        <v>0</v>
      </c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2209</v>
      </c>
      <c r="D64" s="292">
        <v>69.430000000000007</v>
      </c>
      <c r="E64" s="1067">
        <v>259</v>
      </c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2209</v>
      </c>
      <c r="D65" s="292">
        <v>966.8</v>
      </c>
      <c r="E65" s="1067">
        <v>12881</v>
      </c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2209</v>
      </c>
      <c r="D66" s="292">
        <v>512.62</v>
      </c>
      <c r="E66" s="1067">
        <v>4582</v>
      </c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2204</v>
      </c>
      <c r="D67" s="292">
        <v>321.52</v>
      </c>
      <c r="E67" s="1067">
        <v>3314</v>
      </c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543"/>
      <c r="E68" s="1066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2202</v>
      </c>
      <c r="D69" s="544">
        <v>483</v>
      </c>
      <c r="E69" s="1067">
        <v>4438</v>
      </c>
      <c r="F69" s="544"/>
      <c r="G69" s="757"/>
      <c r="H69" s="269"/>
      <c r="I69" s="757"/>
      <c r="J69" s="245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2202</v>
      </c>
      <c r="D70" s="544">
        <v>179</v>
      </c>
      <c r="E70" s="1067">
        <v>1189</v>
      </c>
      <c r="F70" s="544"/>
      <c r="G70" s="757"/>
      <c r="H70" s="269"/>
      <c r="I70" s="757"/>
      <c r="J70" s="245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2202</v>
      </c>
      <c r="D71" s="544">
        <v>97</v>
      </c>
      <c r="E71" s="1067">
        <v>370</v>
      </c>
      <c r="F71" s="544"/>
      <c r="G71" s="757"/>
      <c r="H71" s="269"/>
      <c r="I71" s="757"/>
      <c r="J71" s="245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2202</v>
      </c>
      <c r="D72" s="544">
        <v>58</v>
      </c>
      <c r="E72" s="1067">
        <v>179</v>
      </c>
      <c r="F72" s="544"/>
      <c r="G72" s="757"/>
      <c r="H72" s="269"/>
      <c r="I72" s="757"/>
      <c r="J72" s="245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2202</v>
      </c>
      <c r="D73" s="544">
        <v>40</v>
      </c>
      <c r="E73" s="1067">
        <v>0</v>
      </c>
      <c r="F73" s="544"/>
      <c r="G73" s="757"/>
      <c r="H73" s="269"/>
      <c r="I73" s="757"/>
      <c r="J73" s="245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2202</v>
      </c>
      <c r="D74" s="544">
        <v>282</v>
      </c>
      <c r="E74" s="1067">
        <v>2226</v>
      </c>
      <c r="F74" s="544"/>
      <c r="G74" s="757"/>
      <c r="H74" s="269"/>
      <c r="I74" s="757"/>
      <c r="J74" s="245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2202</v>
      </c>
      <c r="D75" s="544">
        <v>176</v>
      </c>
      <c r="E75" s="1067">
        <v>1421</v>
      </c>
      <c r="F75" s="544"/>
      <c r="G75" s="757"/>
      <c r="H75" s="269"/>
      <c r="I75" s="757"/>
      <c r="J75" s="245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2202</v>
      </c>
      <c r="D76" s="544">
        <v>64</v>
      </c>
      <c r="E76" s="1067">
        <v>239</v>
      </c>
      <c r="F76" s="544"/>
      <c r="G76" s="757"/>
      <c r="H76" s="269"/>
      <c r="I76" s="757"/>
      <c r="J76" s="245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2202</v>
      </c>
      <c r="D77" s="544">
        <v>113</v>
      </c>
      <c r="E77" s="1067">
        <v>523</v>
      </c>
      <c r="F77" s="544"/>
      <c r="G77" s="757"/>
      <c r="H77" s="269"/>
      <c r="I77" s="757"/>
      <c r="J77" s="245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2202</v>
      </c>
      <c r="D78" s="544">
        <v>41</v>
      </c>
      <c r="E78" s="1067">
        <v>3</v>
      </c>
      <c r="F78" s="544"/>
      <c r="G78" s="757"/>
      <c r="H78" s="269"/>
      <c r="I78" s="757"/>
      <c r="J78" s="245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2202</v>
      </c>
      <c r="D79" s="544">
        <v>53</v>
      </c>
      <c r="E79" s="1067">
        <v>128</v>
      </c>
      <c r="F79" s="544"/>
      <c r="G79" s="757"/>
      <c r="H79" s="269"/>
      <c r="I79" s="757"/>
      <c r="J79" s="245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2202</v>
      </c>
      <c r="D80" s="544">
        <v>85</v>
      </c>
      <c r="E80" s="1067">
        <v>242</v>
      </c>
      <c r="F80" s="544"/>
      <c r="G80" s="757"/>
      <c r="H80" s="269"/>
      <c r="I80" s="757"/>
      <c r="J80" s="245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2202</v>
      </c>
      <c r="D81" s="544">
        <v>1524</v>
      </c>
      <c r="E81" s="1067">
        <v>15360</v>
      </c>
      <c r="F81" s="544"/>
      <c r="G81" s="757"/>
      <c r="H81" s="269"/>
      <c r="I81" s="757"/>
      <c r="J81" s="245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2202</v>
      </c>
      <c r="D82" s="544">
        <v>100</v>
      </c>
      <c r="E82" s="1067">
        <v>0</v>
      </c>
      <c r="F82" s="544"/>
      <c r="G82" s="757"/>
      <c r="H82" s="269"/>
      <c r="I82" s="757"/>
      <c r="J82" s="245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 t="s">
        <v>2202</v>
      </c>
      <c r="D83" s="544">
        <v>40</v>
      </c>
      <c r="E83" s="1067">
        <v>0</v>
      </c>
      <c r="F83" s="544"/>
      <c r="G83" s="757"/>
      <c r="H83" s="269"/>
      <c r="I83" s="757"/>
      <c r="J83" s="245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 t="s">
        <v>2202</v>
      </c>
      <c r="D84" s="544">
        <v>42</v>
      </c>
      <c r="E84" s="1067">
        <v>0</v>
      </c>
      <c r="F84" s="544"/>
      <c r="G84" s="757"/>
      <c r="H84" s="269"/>
      <c r="I84" s="757"/>
      <c r="J84" s="245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2202</v>
      </c>
      <c r="D85" s="544">
        <v>265</v>
      </c>
      <c r="E85" s="1067">
        <v>1200</v>
      </c>
      <c r="F85" s="544"/>
      <c r="G85" s="757"/>
      <c r="H85" s="269"/>
      <c r="I85" s="757"/>
      <c r="J85" s="245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2202</v>
      </c>
      <c r="D86" s="544">
        <v>229</v>
      </c>
      <c r="E86" s="1067">
        <v>1440</v>
      </c>
      <c r="F86" s="544"/>
      <c r="G86" s="757"/>
      <c r="H86" s="269"/>
      <c r="I86" s="757"/>
      <c r="J86" s="245" t="s">
        <v>2203</v>
      </c>
      <c r="K86" s="245"/>
      <c r="L86" s="245"/>
    </row>
    <row r="87" spans="1:36" s="677" customFormat="1" x14ac:dyDescent="0.25">
      <c r="A87" s="764" t="s">
        <v>772</v>
      </c>
      <c r="B87" s="762" t="s">
        <v>200</v>
      </c>
      <c r="C87" s="848" t="s">
        <v>2202</v>
      </c>
      <c r="D87" s="620">
        <v>286</v>
      </c>
      <c r="E87" s="1064">
        <v>0</v>
      </c>
      <c r="F87" s="676"/>
      <c r="G87" s="771"/>
      <c r="H87" s="674"/>
      <c r="I87" s="771"/>
      <c r="J87" s="245" t="s">
        <v>2203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2202</v>
      </c>
      <c r="D88" s="544">
        <v>234</v>
      </c>
      <c r="E88" s="1067">
        <v>1137</v>
      </c>
      <c r="F88" s="544"/>
      <c r="G88" s="757"/>
      <c r="H88" s="269"/>
      <c r="I88" s="757"/>
      <c r="J88" s="245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848" t="s">
        <v>2202</v>
      </c>
      <c r="D89" s="544">
        <v>60</v>
      </c>
      <c r="E89" s="1067">
        <v>0</v>
      </c>
      <c r="F89" s="544"/>
      <c r="G89" s="757"/>
      <c r="H89" s="269"/>
      <c r="I89" s="757"/>
      <c r="J89" s="245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2202</v>
      </c>
      <c r="D90" s="544">
        <v>172</v>
      </c>
      <c r="E90" s="1067">
        <v>918</v>
      </c>
      <c r="F90" s="544"/>
      <c r="G90" s="757"/>
      <c r="H90" s="269"/>
      <c r="I90" s="757"/>
      <c r="J90" s="245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2202</v>
      </c>
      <c r="D91" s="544">
        <v>61</v>
      </c>
      <c r="E91" s="1067">
        <v>210</v>
      </c>
      <c r="F91" s="544"/>
      <c r="G91" s="757"/>
      <c r="H91" s="269"/>
      <c r="I91" s="757"/>
      <c r="J91" s="245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2202</v>
      </c>
      <c r="D92" s="544">
        <v>186.57</v>
      </c>
      <c r="E92" s="1067">
        <v>1270</v>
      </c>
      <c r="F92" s="544"/>
      <c r="G92" s="757"/>
      <c r="H92" s="269"/>
      <c r="I92" s="757"/>
      <c r="J92" s="245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2202</v>
      </c>
      <c r="D93" s="544">
        <v>2360</v>
      </c>
      <c r="E93" s="1067">
        <v>28080</v>
      </c>
      <c r="F93" s="544"/>
      <c r="G93" s="757"/>
      <c r="H93" s="269"/>
      <c r="I93" s="757"/>
      <c r="J93" s="245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2202</v>
      </c>
      <c r="D94" s="544">
        <v>237</v>
      </c>
      <c r="E94" s="1067">
        <v>1773</v>
      </c>
      <c r="F94" s="544"/>
      <c r="G94" s="757"/>
      <c r="H94" s="269"/>
      <c r="I94" s="757"/>
      <c r="J94" s="245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543"/>
      <c r="E95" s="1066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2202</v>
      </c>
      <c r="D96" s="544"/>
      <c r="E96" s="1067"/>
      <c r="F96" s="544"/>
      <c r="G96" s="757"/>
      <c r="H96" s="269">
        <v>119.01</v>
      </c>
      <c r="I96" s="757">
        <v>157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2202</v>
      </c>
      <c r="D97" s="544"/>
      <c r="E97" s="1067"/>
      <c r="F97" s="544"/>
      <c r="G97" s="757"/>
      <c r="H97" s="269">
        <v>302.25</v>
      </c>
      <c r="I97" s="757">
        <v>422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2202</v>
      </c>
      <c r="D98" s="544"/>
      <c r="E98" s="1067"/>
      <c r="F98" s="544"/>
      <c r="G98" s="757"/>
      <c r="H98" s="269">
        <v>39.299999999999997</v>
      </c>
      <c r="I98" s="757">
        <v>10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2202</v>
      </c>
      <c r="D99" s="544"/>
      <c r="E99" s="1067"/>
      <c r="F99" s="544"/>
      <c r="G99" s="757"/>
      <c r="H99" s="269">
        <v>51.05</v>
      </c>
      <c r="I99" s="757">
        <v>42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2202</v>
      </c>
      <c r="D100" s="544"/>
      <c r="E100" s="1067"/>
      <c r="F100" s="544"/>
      <c r="G100" s="757"/>
      <c r="H100" s="269">
        <v>39.299999999999997</v>
      </c>
      <c r="I100" s="757">
        <v>20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2202</v>
      </c>
      <c r="D101" s="544"/>
      <c r="E101" s="1067"/>
      <c r="F101" s="544"/>
      <c r="G101" s="757"/>
      <c r="H101" s="269">
        <v>52.65</v>
      </c>
      <c r="I101" s="757">
        <v>45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2202</v>
      </c>
      <c r="D102" s="544"/>
      <c r="E102" s="1067"/>
      <c r="F102" s="544"/>
      <c r="G102" s="757"/>
      <c r="H102" s="269">
        <v>70.27</v>
      </c>
      <c r="I102" s="757">
        <v>78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2202</v>
      </c>
      <c r="D103" s="544"/>
      <c r="E103" s="106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2202</v>
      </c>
      <c r="D104" s="544"/>
      <c r="E104" s="1067"/>
      <c r="F104" s="544"/>
      <c r="G104" s="757"/>
      <c r="H104" s="269">
        <v>187.15</v>
      </c>
      <c r="I104" s="757">
        <v>261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2202</v>
      </c>
      <c r="D105" s="544"/>
      <c r="E105" s="1067"/>
      <c r="F105" s="544"/>
      <c r="G105" s="757"/>
      <c r="H105" s="269">
        <v>55.85</v>
      </c>
      <c r="I105" s="757">
        <v>51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2202</v>
      </c>
      <c r="D106" s="544"/>
      <c r="E106" s="106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184" customFormat="1" x14ac:dyDescent="0.25">
      <c r="A107" s="772" t="s">
        <v>80</v>
      </c>
      <c r="B107" s="681" t="s">
        <v>177</v>
      </c>
      <c r="C107" s="245" t="s">
        <v>2202</v>
      </c>
      <c r="D107" s="544"/>
      <c r="E107" s="1067"/>
      <c r="F107" s="544"/>
      <c r="G107" s="757"/>
      <c r="H107" s="269">
        <v>124.85</v>
      </c>
      <c r="I107" s="757">
        <v>166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2202</v>
      </c>
      <c r="D108" s="544"/>
      <c r="E108" s="1067"/>
      <c r="F108" s="544"/>
      <c r="G108" s="757"/>
      <c r="H108" s="269">
        <v>836.99</v>
      </c>
      <c r="I108" s="757">
        <v>1121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2202</v>
      </c>
      <c r="D109" s="544"/>
      <c r="E109" s="1067"/>
      <c r="F109" s="544"/>
      <c r="G109" s="757"/>
      <c r="H109" s="269">
        <v>39.299999999999997</v>
      </c>
      <c r="I109" s="757">
        <v>2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2202</v>
      </c>
      <c r="D110" s="544"/>
      <c r="E110" s="1067"/>
      <c r="F110" s="544"/>
      <c r="G110" s="757"/>
      <c r="H110" s="269">
        <v>39.299999999999997</v>
      </c>
      <c r="I110" s="757">
        <v>0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45" t="s">
        <v>2202</v>
      </c>
      <c r="D111" s="544"/>
      <c r="E111" s="106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2202</v>
      </c>
      <c r="D112" s="544"/>
      <c r="E112" s="106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2202</v>
      </c>
      <c r="D113" s="544"/>
      <c r="E113" s="1067"/>
      <c r="F113" s="544"/>
      <c r="G113" s="757"/>
      <c r="H113" s="269">
        <v>39.299999999999997</v>
      </c>
      <c r="I113" s="757">
        <v>6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2202</v>
      </c>
      <c r="D114" s="544"/>
      <c r="E114" s="1067"/>
      <c r="F114" s="544"/>
      <c r="G114" s="757"/>
      <c r="H114" s="269">
        <v>40.369999999999997</v>
      </c>
      <c r="I114" s="757">
        <v>22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2202</v>
      </c>
      <c r="D115" s="544"/>
      <c r="E115" s="1067"/>
      <c r="F115" s="544"/>
      <c r="G115" s="757"/>
      <c r="H115" s="269">
        <v>6003.03</v>
      </c>
      <c r="I115" s="757">
        <v>7874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2202</v>
      </c>
      <c r="D116" s="544"/>
      <c r="E116" s="1067"/>
      <c r="F116" s="544"/>
      <c r="G116" s="757"/>
      <c r="H116" s="269">
        <v>368.81</v>
      </c>
      <c r="I116" s="757">
        <v>509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2202</v>
      </c>
      <c r="D117" s="544"/>
      <c r="E117" s="1067"/>
      <c r="F117" s="544"/>
      <c r="G117" s="757"/>
      <c r="H117" s="269">
        <v>39.299999999999997</v>
      </c>
      <c r="I117" s="757">
        <v>0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2202</v>
      </c>
      <c r="D118" s="544"/>
      <c r="E118" s="1067"/>
      <c r="F118" s="544"/>
      <c r="G118" s="757"/>
      <c r="H118" s="269">
        <v>44.11</v>
      </c>
      <c r="I118" s="757">
        <v>29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2202</v>
      </c>
      <c r="D119" s="544"/>
      <c r="E119" s="1067"/>
      <c r="F119" s="544"/>
      <c r="G119" s="757"/>
      <c r="H119" s="269">
        <v>384.11</v>
      </c>
      <c r="I119" s="757">
        <v>529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2202</v>
      </c>
      <c r="D120" s="544"/>
      <c r="E120" s="1067"/>
      <c r="F120" s="544"/>
      <c r="G120" s="757"/>
      <c r="H120" s="269">
        <v>400.17</v>
      </c>
      <c r="I120" s="757">
        <v>550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2202</v>
      </c>
      <c r="D121" s="544"/>
      <c r="E121" s="106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2202</v>
      </c>
      <c r="D122" s="544"/>
      <c r="E122" s="1067"/>
      <c r="F122" s="544"/>
      <c r="G122" s="757"/>
      <c r="H122" s="269">
        <v>579.95000000000005</v>
      </c>
      <c r="I122" s="757">
        <v>785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2202</v>
      </c>
      <c r="D123" s="544"/>
      <c r="E123" s="1067"/>
      <c r="F123" s="544"/>
      <c r="G123" s="757"/>
      <c r="H123" s="269">
        <v>178.65</v>
      </c>
      <c r="I123" s="757">
        <v>160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2202</v>
      </c>
      <c r="D124" s="544"/>
      <c r="E124" s="1067"/>
      <c r="F124" s="544"/>
      <c r="G124" s="757"/>
      <c r="H124" s="269">
        <v>45.71</v>
      </c>
      <c r="I124" s="757">
        <v>32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2202</v>
      </c>
      <c r="D125" s="544"/>
      <c r="E125" s="1067"/>
      <c r="F125" s="544"/>
      <c r="G125" s="757"/>
      <c r="H125" s="269">
        <v>39.299999999999997</v>
      </c>
      <c r="I125" s="757">
        <v>15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2202</v>
      </c>
      <c r="D126" s="544"/>
      <c r="E126" s="106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2199</v>
      </c>
      <c r="D127" s="544"/>
      <c r="E127" s="1067"/>
      <c r="F127" s="544"/>
      <c r="G127" s="757"/>
      <c r="H127" s="269">
        <v>89.81</v>
      </c>
      <c r="I127" s="757">
        <v>112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2202</v>
      </c>
      <c r="D128" s="544"/>
      <c r="E128" s="1067"/>
      <c r="F128" s="544"/>
      <c r="G128" s="757"/>
      <c r="H128" s="269">
        <v>281.18</v>
      </c>
      <c r="I128" s="757">
        <v>394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2199</v>
      </c>
      <c r="D129" s="544"/>
      <c r="E129" s="1067"/>
      <c r="F129" s="544"/>
      <c r="G129" s="757"/>
      <c r="H129" s="269">
        <v>595.25</v>
      </c>
      <c r="I129" s="757">
        <v>805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2199</v>
      </c>
      <c r="D130" s="544"/>
      <c r="E130" s="1067"/>
      <c r="F130" s="544"/>
      <c r="G130" s="757"/>
      <c r="H130" s="269">
        <v>39.299999999999997</v>
      </c>
      <c r="I130" s="757">
        <v>14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2199</v>
      </c>
      <c r="D131" s="544"/>
      <c r="E131" s="1067"/>
      <c r="F131" s="544"/>
      <c r="G131" s="757"/>
      <c r="H131" s="269">
        <v>2571.2399999999998</v>
      </c>
      <c r="I131" s="757">
        <v>3388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2199</v>
      </c>
      <c r="D132" s="544"/>
      <c r="E132" s="106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2199</v>
      </c>
      <c r="D133" s="544"/>
      <c r="E133" s="106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2199</v>
      </c>
      <c r="D134" s="544"/>
      <c r="E134" s="1067"/>
      <c r="F134" s="544"/>
      <c r="G134" s="757"/>
      <c r="H134" s="269">
        <v>39.299999999999997</v>
      </c>
      <c r="I134" s="757">
        <v>14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2199</v>
      </c>
      <c r="D135" s="544"/>
      <c r="E135" s="1067"/>
      <c r="F135" s="544"/>
      <c r="G135" s="757"/>
      <c r="H135" s="269">
        <v>462.9</v>
      </c>
      <c r="I135" s="757">
        <v>632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2199</v>
      </c>
      <c r="D136" s="544"/>
      <c r="E136" s="1067"/>
      <c r="F136" s="544"/>
      <c r="G136" s="757"/>
      <c r="H136" s="269">
        <v>321.38</v>
      </c>
      <c r="I136" s="757">
        <v>447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2199</v>
      </c>
      <c r="D137" s="544"/>
      <c r="E137" s="1067"/>
      <c r="F137" s="544"/>
      <c r="G137" s="757"/>
      <c r="H137" s="269">
        <v>410.88</v>
      </c>
      <c r="I137" s="757">
        <v>564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543"/>
      <c r="E138" s="1066"/>
      <c r="F138" s="543"/>
      <c r="G138" s="750"/>
      <c r="H138" s="250"/>
      <c r="I138" s="750"/>
      <c r="J138" s="249" t="s">
        <v>278</v>
      </c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544"/>
      <c r="E139" s="106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543"/>
      <c r="E140" s="1066"/>
      <c r="F140" s="543"/>
      <c r="G140" s="750"/>
      <c r="H140" s="250"/>
      <c r="I140" s="750"/>
      <c r="J140" s="249" t="s">
        <v>278</v>
      </c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717"/>
      <c r="E141" s="106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543"/>
      <c r="E142" s="1066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2200</v>
      </c>
      <c r="D143" s="544"/>
      <c r="E143" s="1067"/>
      <c r="F143" s="544"/>
      <c r="G143" s="757"/>
      <c r="H143" s="269">
        <v>70</v>
      </c>
      <c r="I143" s="757">
        <v>50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 t="s">
        <v>2205</v>
      </c>
      <c r="D144" s="543"/>
      <c r="E144" s="1066"/>
      <c r="F144" s="543"/>
      <c r="G144" s="750"/>
      <c r="H144" s="250">
        <v>74.540000000000006</v>
      </c>
      <c r="I144" s="750">
        <v>123350</v>
      </c>
      <c r="J144" s="249" t="s">
        <v>278</v>
      </c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544"/>
      <c r="E145" s="106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717"/>
      <c r="E146" s="106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544"/>
      <c r="E147" s="106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544"/>
      <c r="E148" s="106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544"/>
      <c r="E149" s="106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544"/>
      <c r="E150" s="106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544"/>
      <c r="E151" s="106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544"/>
      <c r="E152" s="106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544"/>
      <c r="E153" s="106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544"/>
      <c r="E154" s="106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544"/>
      <c r="E155" s="106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544"/>
      <c r="E156" s="106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544"/>
      <c r="E157" s="106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544"/>
      <c r="E158" s="106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544"/>
      <c r="E159" s="106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544"/>
      <c r="E160" s="106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544"/>
      <c r="E161" s="106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544"/>
      <c r="E162" s="106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544"/>
      <c r="E163" s="106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544"/>
      <c r="E164" s="106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544"/>
      <c r="E165" s="106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544"/>
      <c r="E166" s="106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544"/>
      <c r="E167" s="106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544"/>
      <c r="E168" s="106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544"/>
      <c r="E169" s="106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544"/>
      <c r="E170" s="106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544"/>
      <c r="E171" s="106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544"/>
      <c r="E172" s="106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544"/>
      <c r="E173" s="106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544"/>
      <c r="E174" s="106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544"/>
      <c r="E175" s="106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544"/>
      <c r="E176" s="106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544"/>
      <c r="E177" s="106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544"/>
      <c r="E178" s="106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544"/>
      <c r="E179" s="106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544"/>
      <c r="E180" s="106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544"/>
      <c r="E181" s="106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544"/>
      <c r="E182" s="106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544"/>
      <c r="E183" s="106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544"/>
      <c r="E184" s="106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544"/>
      <c r="E185" s="106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544"/>
      <c r="E186" s="106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544"/>
      <c r="E187" s="106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544"/>
      <c r="E188" s="106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544"/>
      <c r="E189" s="106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544"/>
      <c r="E190" s="106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544"/>
      <c r="E191" s="106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544"/>
      <c r="E192" s="106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544"/>
      <c r="E193" s="106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544"/>
      <c r="E194" s="106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544"/>
      <c r="E195" s="106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544"/>
      <c r="E196" s="106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544"/>
      <c r="E197" s="106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544"/>
      <c r="E198" s="106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544"/>
      <c r="E199" s="106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544"/>
      <c r="E200" s="106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544"/>
      <c r="E201" s="106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544"/>
      <c r="E202" s="106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544"/>
      <c r="E203" s="106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544"/>
      <c r="E204" s="106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544"/>
      <c r="E205" s="106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544"/>
      <c r="E206" s="106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544"/>
      <c r="E207" s="106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544"/>
      <c r="E208" s="106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544"/>
      <c r="E209" s="106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544"/>
      <c r="E210" s="106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544"/>
      <c r="E211" s="106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544"/>
      <c r="E212" s="106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544"/>
      <c r="E213" s="106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544"/>
      <c r="E214" s="106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544"/>
      <c r="E215" s="106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544"/>
      <c r="E216" s="106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544"/>
      <c r="E217" s="106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544"/>
      <c r="E218" s="106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544"/>
      <c r="E219" s="106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544"/>
      <c r="E220" s="106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544"/>
      <c r="E221" s="106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544"/>
      <c r="E222" s="106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544"/>
      <c r="E223" s="106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544"/>
      <c r="E224" s="106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544"/>
      <c r="E225" s="106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544"/>
      <c r="E226" s="106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544"/>
      <c r="E227" s="106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544"/>
      <c r="E228" s="106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544"/>
      <c r="E229" s="106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544"/>
      <c r="E230" s="106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544"/>
      <c r="E231" s="106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544"/>
      <c r="E232" s="106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544"/>
      <c r="E233" s="106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544"/>
      <c r="E234" s="106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544"/>
      <c r="E235" s="106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544"/>
      <c r="E236" s="106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544"/>
      <c r="E237" s="106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544"/>
      <c r="E238" s="106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544"/>
      <c r="E239" s="106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544"/>
      <c r="E240" s="106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544"/>
      <c r="E241" s="106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544"/>
      <c r="E242" s="106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544"/>
      <c r="E243" s="106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544"/>
      <c r="E244" s="106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544"/>
      <c r="E245" s="106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544"/>
      <c r="E246" s="106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544"/>
      <c r="E247" s="106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544"/>
      <c r="E248" s="106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544"/>
      <c r="E249" s="106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544"/>
      <c r="E250" s="106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544"/>
      <c r="E251" s="106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544"/>
      <c r="E252" s="106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544"/>
      <c r="E253" s="106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544"/>
      <c r="E254" s="106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17" activePane="bottomLeft" state="frozen"/>
      <selection pane="bottomLeft" activeCell="E133" sqref="E13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1774</v>
      </c>
      <c r="D3" s="328"/>
      <c r="E3" s="763"/>
      <c r="F3" s="620">
        <v>1414.39</v>
      </c>
      <c r="G3" s="763">
        <v>2062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1780</v>
      </c>
      <c r="D4" s="269"/>
      <c r="E4" s="757"/>
      <c r="F4" s="544">
        <v>528.63</v>
      </c>
      <c r="G4" s="757">
        <v>715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848" t="s">
        <v>1774</v>
      </c>
      <c r="D5" s="328"/>
      <c r="E5" s="763"/>
      <c r="F5" s="620">
        <v>390.07</v>
      </c>
      <c r="G5" s="763">
        <v>504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1778</v>
      </c>
      <c r="D6" s="269"/>
      <c r="E6" s="757"/>
      <c r="F6" s="544">
        <v>312.05</v>
      </c>
      <c r="G6" s="757">
        <v>387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1773</v>
      </c>
      <c r="D7" s="269"/>
      <c r="E7" s="757"/>
      <c r="F7" s="544">
        <v>170.62</v>
      </c>
      <c r="G7" s="757">
        <v>175</v>
      </c>
      <c r="H7" s="269"/>
      <c r="I7" s="757"/>
      <c r="J7" s="245" t="s">
        <v>10</v>
      </c>
      <c r="K7" s="245"/>
      <c r="L7" s="245"/>
    </row>
    <row r="8" spans="1:36" s="371" customFormat="1" ht="24" customHeight="1" x14ac:dyDescent="0.25">
      <c r="A8" s="779" t="s">
        <v>42</v>
      </c>
      <c r="B8" s="780">
        <v>3029257704</v>
      </c>
      <c r="C8" s="367"/>
      <c r="D8" s="368"/>
      <c r="E8" s="781"/>
      <c r="F8" s="654">
        <v>105</v>
      </c>
      <c r="G8" s="781">
        <v>68</v>
      </c>
      <c r="H8" s="368"/>
      <c r="I8" s="781"/>
      <c r="J8" s="367" t="s">
        <v>10</v>
      </c>
      <c r="K8" s="367"/>
      <c r="L8" s="367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604.6</v>
      </c>
      <c r="G9" s="757">
        <v>833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1776</v>
      </c>
      <c r="D10" s="269"/>
      <c r="E10" s="757"/>
      <c r="F10" s="544">
        <v>510.29</v>
      </c>
      <c r="G10" s="757">
        <v>686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1776</v>
      </c>
      <c r="D11" s="269"/>
      <c r="E11" s="757"/>
      <c r="F11" s="544">
        <v>62.69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94.71</v>
      </c>
      <c r="G13" s="757">
        <v>56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1386.44</v>
      </c>
      <c r="G14" s="757">
        <v>2018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1783</v>
      </c>
      <c r="D16" s="269"/>
      <c r="E16" s="757"/>
      <c r="F16" s="544">
        <v>367.18</v>
      </c>
      <c r="G16" s="757">
        <v>869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1783</v>
      </c>
      <c r="D17" s="269"/>
      <c r="E17" s="757"/>
      <c r="F17" s="544">
        <v>172.86</v>
      </c>
      <c r="G17" s="757">
        <v>164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1785</v>
      </c>
      <c r="D20" s="618">
        <v>213.08</v>
      </c>
      <c r="E20" s="547">
        <v>1943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30.63</v>
      </c>
      <c r="E22" s="547">
        <v>329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54.64</v>
      </c>
      <c r="E24" s="547">
        <v>664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378.3</v>
      </c>
      <c r="E25" s="547">
        <v>4600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85.33</v>
      </c>
      <c r="E27" s="547">
        <v>1104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21.27</v>
      </c>
      <c r="E29" s="547">
        <v>186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149.97</v>
      </c>
      <c r="E30" s="547">
        <v>1549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609.67999999999995</v>
      </c>
      <c r="E31" s="547">
        <v>8400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257.85000000000002</v>
      </c>
      <c r="E34" s="547">
        <v>2745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125.11</v>
      </c>
      <c r="E36" s="547">
        <v>1674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19.82</v>
      </c>
      <c r="E37" s="547">
        <v>165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3237.58</v>
      </c>
      <c r="E38" s="547">
        <v>55900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82.68</v>
      </c>
      <c r="E39" s="547">
        <v>1066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899.17</v>
      </c>
      <c r="E44" s="547">
        <v>10200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10.029999999999999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109.68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31.81</v>
      </c>
      <c r="E49" s="547">
        <v>337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178.71</v>
      </c>
      <c r="E50" s="547">
        <v>1608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269.42</v>
      </c>
      <c r="E52" s="547">
        <v>3633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122.29</v>
      </c>
      <c r="E53" s="547">
        <v>1575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873.27</v>
      </c>
      <c r="E55" s="547">
        <v>11940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106.27</v>
      </c>
      <c r="E56" s="547">
        <v>1435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1285.3399999999999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115.27</v>
      </c>
      <c r="E65" s="547">
        <v>1533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582.86</v>
      </c>
      <c r="E66" s="547">
        <v>10116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70.42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286.81</v>
      </c>
      <c r="E68" s="547">
        <v>2964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1781</v>
      </c>
      <c r="D70" s="269">
        <v>147</v>
      </c>
      <c r="E70" s="757">
        <v>1895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1532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125</v>
      </c>
      <c r="E72" s="757">
        <v>709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57</v>
      </c>
      <c r="E73" s="757">
        <v>199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322</v>
      </c>
      <c r="E75" s="757">
        <v>75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344</v>
      </c>
      <c r="E76" s="757">
        <v>3272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79</v>
      </c>
      <c r="E77" s="757">
        <v>433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114</v>
      </c>
      <c r="E78" s="757">
        <v>593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39</v>
      </c>
      <c r="E80" s="757">
        <v>13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71.930000000000007</v>
      </c>
      <c r="E81" s="757">
        <v>156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1781</v>
      </c>
      <c r="D82" s="328">
        <v>61.66</v>
      </c>
      <c r="E82" s="763">
        <v>97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1781</v>
      </c>
      <c r="D83" s="269">
        <v>1713</v>
      </c>
      <c r="E83" s="757">
        <v>16680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1781</v>
      </c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1781</v>
      </c>
      <c r="D85" s="269">
        <v>97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1781</v>
      </c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1781</v>
      </c>
      <c r="D87" s="269">
        <v>61</v>
      </c>
      <c r="E87" s="757">
        <v>208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1781</v>
      </c>
      <c r="D88" s="269">
        <v>516</v>
      </c>
      <c r="E88" s="757">
        <v>3900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1781</v>
      </c>
      <c r="D89" s="269">
        <v>361</v>
      </c>
      <c r="E89" s="757">
        <v>2880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1781</v>
      </c>
      <c r="D90" s="674">
        <v>279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1781</v>
      </c>
      <c r="D91" s="269">
        <v>150</v>
      </c>
      <c r="E91" s="757">
        <v>514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1781</v>
      </c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1781</v>
      </c>
      <c r="D93" s="269">
        <v>94.61</v>
      </c>
      <c r="E93" s="757">
        <v>401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1781</v>
      </c>
      <c r="D94" s="269">
        <v>112</v>
      </c>
      <c r="E94" s="757">
        <v>779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1781</v>
      </c>
      <c r="D95" s="269">
        <v>1214</v>
      </c>
      <c r="E95" s="757">
        <v>11040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1782</v>
      </c>
      <c r="D96" s="269">
        <v>67</v>
      </c>
      <c r="E96" s="757">
        <v>99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84.62</v>
      </c>
      <c r="I98" s="757">
        <v>104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1781</v>
      </c>
      <c r="D99" s="269"/>
      <c r="E99" s="757"/>
      <c r="F99" s="544"/>
      <c r="G99" s="757"/>
      <c r="H99" s="269">
        <v>229.57</v>
      </c>
      <c r="I99" s="757">
        <v>321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6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2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39.299999999999997</v>
      </c>
      <c r="I104" s="757">
        <v>13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221.79</v>
      </c>
      <c r="I106" s="757">
        <v>310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1781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1781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186.44</v>
      </c>
      <c r="I117" s="757">
        <v>260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39.83</v>
      </c>
      <c r="I118" s="757">
        <v>21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1781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1781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1781</v>
      </c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1777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1777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1777</v>
      </c>
      <c r="D132" s="269"/>
      <c r="E132" s="757"/>
      <c r="F132" s="544"/>
      <c r="G132" s="757"/>
      <c r="H132" s="269">
        <v>39.299999999999997</v>
      </c>
      <c r="I132" s="757">
        <v>6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1777</v>
      </c>
      <c r="D133" s="269"/>
      <c r="E133" s="757"/>
      <c r="F133" s="544"/>
      <c r="G133" s="757"/>
      <c r="H133" s="269">
        <v>3612.41</v>
      </c>
      <c r="I133" s="757">
        <v>4749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1777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1777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1777</v>
      </c>
      <c r="D136" s="269"/>
      <c r="E136" s="757"/>
      <c r="F136" s="544"/>
      <c r="G136" s="757"/>
      <c r="H136" s="269">
        <v>39.299999999999997</v>
      </c>
      <c r="I136" s="757">
        <v>11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1777</v>
      </c>
      <c r="D137" s="269"/>
      <c r="E137" s="757"/>
      <c r="F137" s="544"/>
      <c r="G137" s="757"/>
      <c r="H137" s="269">
        <v>492.74</v>
      </c>
      <c r="I137" s="757">
        <v>671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1777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371" customFormat="1" x14ac:dyDescent="0.25">
      <c r="A141" s="779" t="s">
        <v>107</v>
      </c>
      <c r="B141" s="780">
        <v>67</v>
      </c>
      <c r="C141" s="656" t="s">
        <v>1781</v>
      </c>
      <c r="D141" s="368"/>
      <c r="E141" s="781"/>
      <c r="F141" s="654"/>
      <c r="G141" s="781"/>
      <c r="H141" s="368">
        <v>50</v>
      </c>
      <c r="I141" s="781">
        <v>0</v>
      </c>
      <c r="J141" s="367"/>
      <c r="K141" s="367"/>
      <c r="L141" s="367"/>
    </row>
    <row r="142" spans="1:36" s="184" customFormat="1" x14ac:dyDescent="0.25">
      <c r="A142" s="695" t="s">
        <v>109</v>
      </c>
      <c r="B142" s="775">
        <v>95</v>
      </c>
      <c r="C142" s="245" t="s">
        <v>1781</v>
      </c>
      <c r="D142" s="269"/>
      <c r="E142" s="757"/>
      <c r="F142" s="544"/>
      <c r="G142" s="757"/>
      <c r="H142" s="269">
        <v>92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43838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1775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18" sqref="D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1784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23"/>
      <c r="B4" s="924"/>
      <c r="C4" s="924"/>
      <c r="D4" s="924"/>
      <c r="E4" s="924"/>
      <c r="F4" s="924"/>
      <c r="G4" s="92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185176</v>
      </c>
      <c r="D13" s="34"/>
      <c r="E13" s="35" t="s">
        <v>33</v>
      </c>
      <c r="F13" s="34"/>
      <c r="G13" s="42">
        <v>18666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6483</v>
      </c>
      <c r="D15" s="34"/>
      <c r="E15" s="35" t="s">
        <v>10</v>
      </c>
      <c r="F15" s="34"/>
      <c r="G15" s="42">
        <v>4807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9204</v>
      </c>
      <c r="D17" s="34"/>
      <c r="E17" s="35" t="s">
        <v>278</v>
      </c>
      <c r="F17" s="34"/>
      <c r="G17" s="42">
        <v>7103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63" activePane="bottomLeft" state="frozen"/>
      <selection pane="bottomLeft" activeCell="A70" sqref="A7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1774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1779</v>
      </c>
      <c r="D4" s="269"/>
      <c r="E4" s="757"/>
      <c r="F4" s="544">
        <v>216.39</v>
      </c>
      <c r="G4" s="757">
        <v>266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199.76</v>
      </c>
      <c r="G5" s="763">
        <v>194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1774</v>
      </c>
      <c r="D6" s="269"/>
      <c r="E6" s="757"/>
      <c r="F6" s="544">
        <v>261.89</v>
      </c>
      <c r="G6" s="757">
        <v>391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67.3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1773</v>
      </c>
      <c r="D8" s="269"/>
      <c r="E8" s="757"/>
      <c r="F8" s="544">
        <v>105</v>
      </c>
      <c r="G8" s="757">
        <v>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395.35</v>
      </c>
      <c r="G9" s="757">
        <v>530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593.51</v>
      </c>
      <c r="G10" s="757">
        <v>686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1776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50.03</v>
      </c>
      <c r="G13" s="757">
        <v>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466.85</v>
      </c>
      <c r="G14" s="757">
        <v>665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1761</v>
      </c>
      <c r="D16" s="269"/>
      <c r="E16" s="757"/>
      <c r="F16" s="544">
        <v>395.35</v>
      </c>
      <c r="G16" s="757">
        <v>530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90.7</v>
      </c>
      <c r="G17" s="757">
        <v>63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77.180000000000007</v>
      </c>
      <c r="G18" s="757">
        <v>27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1772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1766</v>
      </c>
      <c r="D20" s="618">
        <v>190.52</v>
      </c>
      <c r="E20" s="547">
        <v>1322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26.05</v>
      </c>
      <c r="E22" s="547">
        <v>263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17.62</v>
      </c>
      <c r="E23" s="547">
        <v>15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53.86</v>
      </c>
      <c r="E24" s="547">
        <v>656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 t="s">
        <v>1767</v>
      </c>
      <c r="D25" s="618">
        <v>358.11</v>
      </c>
      <c r="E25" s="547">
        <v>436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68.94</v>
      </c>
      <c r="E27" s="547">
        <v>873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17.2</v>
      </c>
      <c r="E29" s="547">
        <v>128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170.13</v>
      </c>
      <c r="E30" s="547">
        <v>1383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577.64</v>
      </c>
      <c r="E31" s="547">
        <v>4800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22.59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355.59</v>
      </c>
      <c r="E34" s="547">
        <v>2709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11.08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116.25</v>
      </c>
      <c r="E36" s="547">
        <v>1554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18.36</v>
      </c>
      <c r="E37" s="547">
        <v>145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3309.58</v>
      </c>
      <c r="E38" s="547">
        <v>56700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 t="s">
        <v>1768</v>
      </c>
      <c r="D39" s="618">
        <v>77.02</v>
      </c>
      <c r="E39" s="547">
        <v>989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29.13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20.49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879.8</v>
      </c>
      <c r="E44" s="547">
        <v>9420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11.08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 t="s">
        <v>1769</v>
      </c>
      <c r="D46" s="618">
        <v>9.9600000000000009</v>
      </c>
      <c r="E46" s="547">
        <v>24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109.13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28.45</v>
      </c>
      <c r="E49" s="547">
        <v>290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227.88</v>
      </c>
      <c r="E50" s="547">
        <v>1518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8.3699999999999992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245.59</v>
      </c>
      <c r="E52" s="547">
        <v>2988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78.400000000000006</v>
      </c>
      <c r="E53" s="547">
        <v>997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14.49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797.75</v>
      </c>
      <c r="E55" s="547">
        <v>10320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 t="s">
        <v>1770</v>
      </c>
      <c r="D56" s="618">
        <v>64.09</v>
      </c>
      <c r="E56" s="547">
        <v>822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1278.01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460.86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22.56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324.52999999999997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178.38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862.48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 t="s">
        <v>1678</v>
      </c>
      <c r="C65" s="546" t="s">
        <v>1771</v>
      </c>
      <c r="D65" s="618">
        <v>88.6</v>
      </c>
      <c r="E65" s="547">
        <v>1156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532.16999999999996</v>
      </c>
      <c r="E66" s="547">
        <v>9717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87.24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262.33</v>
      </c>
      <c r="E68" s="547">
        <v>2133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1762</v>
      </c>
      <c r="D70" s="269">
        <v>219</v>
      </c>
      <c r="E70" s="757">
        <v>1914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211</v>
      </c>
      <c r="B72" s="681">
        <v>7039100</v>
      </c>
      <c r="C72" s="289"/>
      <c r="D72" s="269">
        <v>114.81</v>
      </c>
      <c r="E72" s="757">
        <v>572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52</v>
      </c>
      <c r="E73" s="757">
        <v>152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84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305</v>
      </c>
      <c r="E75" s="757">
        <v>2610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153</v>
      </c>
      <c r="E76" s="757">
        <v>1294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72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ht="26.25" x14ac:dyDescent="0.25">
      <c r="A78" s="695" t="s">
        <v>1755</v>
      </c>
      <c r="B78" s="681" t="s">
        <v>217</v>
      </c>
      <c r="C78" s="289"/>
      <c r="D78" s="269">
        <v>80</v>
      </c>
      <c r="E78" s="757">
        <v>234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40</v>
      </c>
      <c r="E80" s="757">
        <v>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60.12</v>
      </c>
      <c r="E81" s="757">
        <v>33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/>
      <c r="D82" s="328">
        <v>66</v>
      </c>
      <c r="E82" s="763">
        <v>139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1510</v>
      </c>
      <c r="E83" s="757">
        <v>15480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2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47</v>
      </c>
      <c r="E87" s="757">
        <v>63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582" customFormat="1" x14ac:dyDescent="0.25">
      <c r="A88" s="731" t="s">
        <v>100</v>
      </c>
      <c r="B88" s="916">
        <v>1323346600</v>
      </c>
      <c r="C88" s="581"/>
      <c r="D88" s="579">
        <v>373</v>
      </c>
      <c r="E88" s="804">
        <v>2400</v>
      </c>
      <c r="F88" s="631"/>
      <c r="G88" s="804"/>
      <c r="H88" s="579"/>
      <c r="I88" s="804"/>
      <c r="J88" s="581" t="s">
        <v>33</v>
      </c>
      <c r="K88" s="581"/>
      <c r="L88" s="581"/>
    </row>
    <row r="89" spans="1:12" s="582" customFormat="1" x14ac:dyDescent="0.25">
      <c r="A89" s="731" t="s">
        <v>101</v>
      </c>
      <c r="B89" s="916">
        <v>1322699400</v>
      </c>
      <c r="C89" s="578"/>
      <c r="D89" s="579">
        <v>347.95</v>
      </c>
      <c r="E89" s="804">
        <v>2040</v>
      </c>
      <c r="F89" s="631"/>
      <c r="G89" s="804"/>
      <c r="H89" s="579"/>
      <c r="I89" s="804"/>
      <c r="J89" s="581" t="s">
        <v>33</v>
      </c>
      <c r="K89" s="581"/>
      <c r="L89" s="581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1762</v>
      </c>
      <c r="D91" s="269">
        <v>134</v>
      </c>
      <c r="E91" s="757">
        <v>341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1762</v>
      </c>
      <c r="D93" s="269">
        <v>84.94</v>
      </c>
      <c r="E93" s="757">
        <v>300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113</v>
      </c>
      <c r="E94" s="757">
        <v>794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1708</v>
      </c>
      <c r="E95" s="757">
        <v>18480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270</v>
      </c>
      <c r="E96" s="757">
        <v>2241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1765</v>
      </c>
      <c r="D98" s="269"/>
      <c r="E98" s="757"/>
      <c r="F98" s="544"/>
      <c r="G98" s="757"/>
      <c r="H98" s="269">
        <v>80.42</v>
      </c>
      <c r="I98" s="757">
        <v>97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1765</v>
      </c>
      <c r="D99" s="269"/>
      <c r="E99" s="757"/>
      <c r="F99" s="544"/>
      <c r="G99" s="757"/>
      <c r="H99" s="269">
        <v>109.93</v>
      </c>
      <c r="I99" s="757">
        <v>143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45.71</v>
      </c>
      <c r="I102" s="757">
        <v>32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1765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148.22</v>
      </c>
      <c r="I117" s="757">
        <v>202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95</v>
      </c>
      <c r="I118" s="757">
        <v>120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8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1765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114.6</v>
      </c>
      <c r="I125" s="757">
        <v>93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1765</v>
      </c>
      <c r="D126" s="269"/>
      <c r="E126" s="757"/>
      <c r="F126" s="544"/>
      <c r="G126" s="757"/>
      <c r="H126" s="269">
        <v>45.71</v>
      </c>
      <c r="I126" s="757">
        <v>32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1765</v>
      </c>
      <c r="D127" s="269"/>
      <c r="E127" s="757"/>
      <c r="F127" s="544"/>
      <c r="G127" s="757"/>
      <c r="H127" s="269">
        <v>39.299999999999997</v>
      </c>
      <c r="I127" s="757">
        <v>16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1766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1777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1766</v>
      </c>
      <c r="D132" s="269"/>
      <c r="E132" s="757"/>
      <c r="F132" s="544"/>
      <c r="G132" s="757"/>
      <c r="H132" s="269">
        <v>39.299999999999997</v>
      </c>
      <c r="I132" s="757">
        <v>6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1766</v>
      </c>
      <c r="D133" s="269"/>
      <c r="E133" s="757"/>
      <c r="F133" s="544"/>
      <c r="G133" s="757"/>
      <c r="H133" s="269">
        <v>3612.41</v>
      </c>
      <c r="I133" s="757">
        <v>4749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1766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1766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1766</v>
      </c>
      <c r="D136" s="269"/>
      <c r="E136" s="757"/>
      <c r="F136" s="544"/>
      <c r="G136" s="757"/>
      <c r="H136" s="269">
        <v>39.299999999999997</v>
      </c>
      <c r="I136" s="757">
        <v>11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1766</v>
      </c>
      <c r="D137" s="269"/>
      <c r="E137" s="757"/>
      <c r="F137" s="544"/>
      <c r="G137" s="757"/>
      <c r="H137" s="269">
        <v>492.74</v>
      </c>
      <c r="I137" s="757">
        <v>671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1766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644.97</v>
      </c>
      <c r="I139" s="757">
        <v>870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>
        <v>50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1762</v>
      </c>
      <c r="D142" s="269"/>
      <c r="E142" s="757"/>
      <c r="F142" s="544"/>
      <c r="G142" s="757"/>
      <c r="H142" s="269">
        <v>92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44173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1764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1763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20"/>
      <c r="B4" s="921"/>
      <c r="C4" s="921"/>
      <c r="D4" s="921"/>
      <c r="E4" s="921"/>
      <c r="F4" s="921"/>
      <c r="G4" s="92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203417</v>
      </c>
      <c r="D13" s="34"/>
      <c r="E13" s="35" t="s">
        <v>33</v>
      </c>
      <c r="F13" s="34"/>
      <c r="G13" s="42">
        <v>19240.41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3154</v>
      </c>
      <c r="D15" s="34"/>
      <c r="E15" s="35" t="s">
        <v>10</v>
      </c>
      <c r="F15" s="34"/>
      <c r="G15" s="42">
        <v>3973.9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7986</v>
      </c>
      <c r="D17" s="34"/>
      <c r="E17" s="35" t="s">
        <v>278</v>
      </c>
      <c r="F17" s="34"/>
      <c r="G17" s="42">
        <v>7154.73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21" activePane="bottomLeft" state="frozen"/>
      <selection pane="bottomLeft" activeCell="A62" sqref="A6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11.855468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216.39</v>
      </c>
      <c r="G4" s="757">
        <v>266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128.41</v>
      </c>
      <c r="G6" s="757">
        <v>119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67.3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72.040000000000006</v>
      </c>
      <c r="G8" s="757">
        <v>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249.34</v>
      </c>
      <c r="G9" s="757">
        <v>332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167.13</v>
      </c>
      <c r="G10" s="757">
        <v>182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1761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50.03</v>
      </c>
      <c r="G13" s="757">
        <v>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466.85</v>
      </c>
      <c r="G14" s="757">
        <v>665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241.24</v>
      </c>
      <c r="G16" s="757">
        <v>296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1732</v>
      </c>
      <c r="D20" s="618">
        <v>198.48</v>
      </c>
      <c r="E20" s="547">
        <v>1530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19.760000000000002</v>
      </c>
      <c r="E22" s="547">
        <v>70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62.6</v>
      </c>
      <c r="E24" s="547">
        <v>778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582.78</v>
      </c>
      <c r="E25" s="547">
        <v>5120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13.89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84.91</v>
      </c>
      <c r="E27" s="547">
        <v>1098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18.07</v>
      </c>
      <c r="E29" s="547">
        <v>140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212</v>
      </c>
      <c r="E30" s="547">
        <v>1794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570.54</v>
      </c>
      <c r="E31" s="547">
        <v>7560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334.06</v>
      </c>
      <c r="E34" s="547">
        <v>2635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79.61</v>
      </c>
      <c r="E36" s="547">
        <v>1022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18.34</v>
      </c>
      <c r="E37" s="547">
        <v>144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3899.45</v>
      </c>
      <c r="E38" s="547">
        <v>67700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38.92</v>
      </c>
      <c r="E39" s="547">
        <v>439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51.77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13.89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893.43</v>
      </c>
      <c r="E44" s="547">
        <v>10260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9.9</v>
      </c>
      <c r="E46" s="547">
        <v>23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109.68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22.53</v>
      </c>
      <c r="E49" s="547">
        <v>204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258.37</v>
      </c>
      <c r="E50" s="547">
        <v>2096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312.43</v>
      </c>
      <c r="E52" s="547">
        <v>3596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108.56</v>
      </c>
      <c r="E53" s="547">
        <v>1393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893.97</v>
      </c>
      <c r="E55" s="547">
        <v>11760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37.130000000000003</v>
      </c>
      <c r="E56" s="547">
        <v>424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1285.3399999999999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22.61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900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69.09</v>
      </c>
      <c r="E65" s="547">
        <v>871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537.27</v>
      </c>
      <c r="E66" s="547">
        <v>9835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277.18</v>
      </c>
      <c r="E67" s="547">
        <v>480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304.52999999999997</v>
      </c>
      <c r="E68" s="547">
        <v>2318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584" customFormat="1" ht="14.25" customHeight="1" x14ac:dyDescent="0.25">
      <c r="A69" s="858" t="s">
        <v>1757</v>
      </c>
      <c r="B69" s="858"/>
      <c r="C69" s="858"/>
      <c r="D69" s="859"/>
      <c r="E69" s="861"/>
      <c r="F69" s="860"/>
      <c r="G69" s="861"/>
      <c r="H69" s="859"/>
      <c r="I69" s="861"/>
      <c r="J69" s="858"/>
      <c r="K69" s="858"/>
      <c r="L69" s="858"/>
    </row>
    <row r="70" spans="1:36" s="619" customFormat="1" ht="14.25" customHeight="1" x14ac:dyDescent="0.25">
      <c r="A70" s="546" t="s">
        <v>1687</v>
      </c>
      <c r="B70" s="546">
        <v>138296</v>
      </c>
      <c r="C70" s="546" t="s">
        <v>1758</v>
      </c>
      <c r="D70" s="618">
        <v>12.9</v>
      </c>
      <c r="E70" s="547">
        <v>55</v>
      </c>
      <c r="F70" s="548"/>
      <c r="G70" s="547"/>
      <c r="H70" s="618"/>
      <c r="I70" s="547"/>
      <c r="J70" s="546" t="s">
        <v>1759</v>
      </c>
      <c r="K70" s="546">
        <v>1.04437200000073E+16</v>
      </c>
      <c r="L70" s="546"/>
    </row>
    <row r="71" spans="1:36" s="199" customFormat="1" ht="26.25" x14ac:dyDescent="0.25">
      <c r="A71" s="698" t="s">
        <v>878</v>
      </c>
      <c r="B71" s="687"/>
      <c r="C71" s="249"/>
      <c r="D71" s="250"/>
      <c r="E71" s="750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289" t="s">
        <v>1762</v>
      </c>
      <c r="D72" s="269">
        <v>219</v>
      </c>
      <c r="E72" s="757">
        <v>1914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289"/>
      <c r="D73" s="269">
        <v>204</v>
      </c>
      <c r="E73" s="757">
        <v>1547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211</v>
      </c>
      <c r="B74" s="681">
        <v>7039100</v>
      </c>
      <c r="C74" s="289"/>
      <c r="D74" s="269">
        <v>114.81</v>
      </c>
      <c r="E74" s="757">
        <v>572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/>
      <c r="D75" s="269">
        <v>52</v>
      </c>
      <c r="E75" s="757">
        <v>152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/>
      <c r="D76" s="269">
        <v>45</v>
      </c>
      <c r="E76" s="757">
        <v>84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/>
      <c r="D77" s="269">
        <v>305</v>
      </c>
      <c r="E77" s="757">
        <v>2610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/>
      <c r="D78" s="269">
        <v>153</v>
      </c>
      <c r="E78" s="757">
        <v>1294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/>
      <c r="D79" s="269">
        <v>72</v>
      </c>
      <c r="E79" s="757">
        <v>364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ht="26.25" x14ac:dyDescent="0.25">
      <c r="A80" s="695" t="s">
        <v>1755</v>
      </c>
      <c r="B80" s="681" t="s">
        <v>217</v>
      </c>
      <c r="C80" s="289"/>
      <c r="D80" s="269">
        <v>80</v>
      </c>
      <c r="E80" s="757">
        <v>234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/>
      <c r="D81" s="269">
        <v>38</v>
      </c>
      <c r="E81" s="757">
        <v>4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/>
      <c r="D82" s="269">
        <v>40</v>
      </c>
      <c r="E82" s="757">
        <v>24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/>
      <c r="D83" s="269">
        <v>60.12</v>
      </c>
      <c r="E83" s="757">
        <v>33</v>
      </c>
      <c r="F83" s="544"/>
      <c r="G83" s="757"/>
      <c r="H83" s="269"/>
      <c r="I83" s="757"/>
      <c r="J83" s="245"/>
      <c r="K83" s="245"/>
      <c r="L83" s="245"/>
    </row>
    <row r="84" spans="1:12" s="331" customFormat="1" x14ac:dyDescent="0.25">
      <c r="A84" s="764" t="s">
        <v>621</v>
      </c>
      <c r="B84" s="762" t="s">
        <v>201</v>
      </c>
      <c r="C84" s="327"/>
      <c r="D84" s="328">
        <v>66</v>
      </c>
      <c r="E84" s="763">
        <v>139</v>
      </c>
      <c r="F84" s="620"/>
      <c r="G84" s="763"/>
      <c r="H84" s="328"/>
      <c r="I84" s="763"/>
      <c r="J84" s="327" t="s">
        <v>33</v>
      </c>
      <c r="K84" s="327"/>
      <c r="L84" s="327"/>
    </row>
    <row r="85" spans="1:12" s="184" customFormat="1" x14ac:dyDescent="0.25">
      <c r="A85" s="695" t="s">
        <v>768</v>
      </c>
      <c r="B85" s="681" t="s">
        <v>202</v>
      </c>
      <c r="C85" s="289"/>
      <c r="D85" s="269">
        <v>1510</v>
      </c>
      <c r="E85" s="757">
        <v>15480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96</v>
      </c>
      <c r="B86" s="681">
        <v>7815400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97</v>
      </c>
      <c r="B87" s="681" t="s">
        <v>204</v>
      </c>
      <c r="C87" s="245"/>
      <c r="D87" s="269">
        <v>97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/>
      <c r="D88" s="269">
        <v>38</v>
      </c>
      <c r="E88" s="757">
        <v>2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/>
      <c r="D89" s="269">
        <v>47</v>
      </c>
      <c r="E89" s="757">
        <v>63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582" customFormat="1" x14ac:dyDescent="0.25">
      <c r="A90" s="731" t="s">
        <v>100</v>
      </c>
      <c r="B90" s="916">
        <v>1323346600</v>
      </c>
      <c r="C90" s="581"/>
      <c r="D90" s="579"/>
      <c r="E90" s="804"/>
      <c r="F90" s="631"/>
      <c r="G90" s="804"/>
      <c r="H90" s="579"/>
      <c r="I90" s="804"/>
      <c r="J90" s="581" t="s">
        <v>33</v>
      </c>
      <c r="K90" s="581"/>
      <c r="L90" s="581"/>
    </row>
    <row r="91" spans="1:12" s="582" customFormat="1" x14ac:dyDescent="0.25">
      <c r="A91" s="731" t="s">
        <v>101</v>
      </c>
      <c r="B91" s="916">
        <v>1322699400</v>
      </c>
      <c r="C91" s="578"/>
      <c r="D91" s="579"/>
      <c r="E91" s="804"/>
      <c r="F91" s="631"/>
      <c r="G91" s="804"/>
      <c r="H91" s="579"/>
      <c r="I91" s="804"/>
      <c r="J91" s="581" t="s">
        <v>33</v>
      </c>
      <c r="K91" s="581"/>
      <c r="L91" s="581"/>
    </row>
    <row r="92" spans="1:12" s="677" customFormat="1" x14ac:dyDescent="0.25">
      <c r="A92" s="761" t="s">
        <v>772</v>
      </c>
      <c r="B92" s="769" t="s">
        <v>200</v>
      </c>
      <c r="C92" s="770"/>
      <c r="D92" s="674">
        <v>277</v>
      </c>
      <c r="E92" s="771"/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/>
      <c r="D93" s="269">
        <v>153</v>
      </c>
      <c r="E93" s="757">
        <v>554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/>
      <c r="D94" s="269">
        <v>57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 t="s">
        <v>1754</v>
      </c>
      <c r="D95" s="269">
        <v>107.84</v>
      </c>
      <c r="E95" s="757">
        <v>392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/>
      <c r="D96" s="269">
        <v>114</v>
      </c>
      <c r="E96" s="757">
        <v>813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/>
      <c r="D97" s="269">
        <v>1708</v>
      </c>
      <c r="E97" s="757">
        <v>18480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270</v>
      </c>
      <c r="E98" s="757">
        <v>2241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/>
      <c r="D100" s="269"/>
      <c r="E100" s="757"/>
      <c r="F100" s="544"/>
      <c r="G100" s="757"/>
      <c r="H100" s="269">
        <v>72.94</v>
      </c>
      <c r="I100" s="757">
        <v>83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89" t="s">
        <v>1754</v>
      </c>
      <c r="D101" s="269"/>
      <c r="E101" s="757"/>
      <c r="F101" s="544"/>
      <c r="G101" s="757"/>
      <c r="H101" s="269">
        <v>77.209999999999994</v>
      </c>
      <c r="I101" s="757">
        <v>91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/>
      <c r="D102" s="269"/>
      <c r="E102" s="757"/>
      <c r="F102" s="544"/>
      <c r="G102" s="757"/>
      <c r="H102" s="269">
        <v>78.819999999999993</v>
      </c>
      <c r="I102" s="757">
        <v>94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/>
      <c r="D103" s="269"/>
      <c r="E103" s="757"/>
      <c r="F103" s="544"/>
      <c r="G103" s="757"/>
      <c r="H103" s="269">
        <v>44.11</v>
      </c>
      <c r="I103" s="757">
        <v>29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/>
      <c r="D104" s="269"/>
      <c r="E104" s="757"/>
      <c r="F104" s="544"/>
      <c r="G104" s="757"/>
      <c r="H104" s="269">
        <v>47.84</v>
      </c>
      <c r="I104" s="757">
        <v>36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/>
      <c r="D106" s="269"/>
      <c r="E106" s="757"/>
      <c r="F106" s="544"/>
      <c r="G106" s="757"/>
      <c r="H106" s="269">
        <v>39.299999999999997</v>
      </c>
      <c r="I106" s="757">
        <v>15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/>
      <c r="D109" s="269"/>
      <c r="E109" s="757"/>
      <c r="F109" s="544"/>
      <c r="G109" s="757"/>
      <c r="H109" s="269">
        <v>39.299999999999997</v>
      </c>
      <c r="I109" s="757">
        <v>12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89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774"/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89"/>
      <c r="D119" s="269"/>
      <c r="E119" s="757"/>
      <c r="F119" s="544"/>
      <c r="G119" s="757"/>
      <c r="H119" s="269">
        <v>199.17</v>
      </c>
      <c r="I119" s="757">
        <v>278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/>
      <c r="D120" s="269"/>
      <c r="E120" s="757"/>
      <c r="F120" s="544"/>
      <c r="G120" s="757"/>
      <c r="H120" s="269">
        <v>208.36</v>
      </c>
      <c r="I120" s="757">
        <v>291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/>
      <c r="D122" s="269"/>
      <c r="E122" s="757"/>
      <c r="F122" s="544"/>
      <c r="G122" s="757"/>
      <c r="H122" s="269">
        <v>39.299999999999997</v>
      </c>
      <c r="I122" s="757">
        <v>7</v>
      </c>
      <c r="J122" s="245">
        <v>0</v>
      </c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/>
      <c r="D123" s="269"/>
      <c r="E123" s="757"/>
      <c r="F123" s="544"/>
      <c r="G123" s="757"/>
      <c r="H123" s="269">
        <v>39.299999999999997</v>
      </c>
      <c r="I123" s="757">
        <v>1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/>
      <c r="D127" s="269"/>
      <c r="E127" s="757"/>
      <c r="F127" s="544"/>
      <c r="G127" s="757"/>
      <c r="H127" s="269">
        <v>114.6</v>
      </c>
      <c r="I127" s="757">
        <v>93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/>
      <c r="D128" s="269"/>
      <c r="E128" s="757"/>
      <c r="F128" s="544"/>
      <c r="G128" s="757"/>
      <c r="H128" s="269">
        <v>44.11</v>
      </c>
      <c r="I128" s="757">
        <v>29</v>
      </c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/>
      <c r="D129" s="269"/>
      <c r="E129" s="757"/>
      <c r="F129" s="544"/>
      <c r="G129" s="757"/>
      <c r="H129" s="269">
        <v>39.299999999999997</v>
      </c>
      <c r="I129" s="757">
        <v>9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/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/>
      <c r="D131" s="269"/>
      <c r="E131" s="757"/>
      <c r="F131" s="544"/>
      <c r="G131" s="757"/>
      <c r="H131" s="269">
        <v>46.78</v>
      </c>
      <c r="I131" s="757">
        <v>34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/>
      <c r="D133" s="269"/>
      <c r="E133" s="757"/>
      <c r="F133" s="544"/>
      <c r="G133" s="757"/>
      <c r="H133" s="269">
        <v>460.61</v>
      </c>
      <c r="I133" s="757">
        <v>629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/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/>
      <c r="D135" s="269"/>
      <c r="E135" s="757"/>
      <c r="F135" s="544"/>
      <c r="G135" s="757"/>
      <c r="H135" s="269">
        <v>3275.84</v>
      </c>
      <c r="I135" s="757">
        <v>4309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/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/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/>
      <c r="D138" s="269"/>
      <c r="E138" s="757"/>
      <c r="F138" s="544"/>
      <c r="G138" s="757"/>
      <c r="H138" s="269">
        <v>39.299999999999997</v>
      </c>
      <c r="I138" s="757">
        <v>12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/>
      <c r="D139" s="269"/>
      <c r="E139" s="757"/>
      <c r="F139" s="544"/>
      <c r="G139" s="757"/>
      <c r="H139" s="269">
        <v>430.01</v>
      </c>
      <c r="I139" s="757">
        <v>589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/>
      <c r="D140" s="269"/>
      <c r="E140" s="757"/>
      <c r="F140" s="544"/>
      <c r="G140" s="757"/>
      <c r="H140" s="269">
        <v>336.68</v>
      </c>
      <c r="I140" s="757">
        <v>467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/>
      <c r="D141" s="269"/>
      <c r="E141" s="757"/>
      <c r="F141" s="544"/>
      <c r="G141" s="757"/>
      <c r="H141" s="269">
        <v>644.97</v>
      </c>
      <c r="I141" s="757">
        <v>870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107</v>
      </c>
      <c r="B143" s="681">
        <v>67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x14ac:dyDescent="0.25">
      <c r="A144" s="695" t="s">
        <v>109</v>
      </c>
      <c r="B144" s="775">
        <v>95</v>
      </c>
      <c r="C144" s="245"/>
      <c r="D144" s="269"/>
      <c r="E144" s="757"/>
      <c r="F144" s="544"/>
      <c r="G144" s="757"/>
      <c r="H144" s="269"/>
      <c r="I144" s="757"/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1137</v>
      </c>
      <c r="B146" s="759">
        <v>61</v>
      </c>
      <c r="C146" s="289">
        <v>44144</v>
      </c>
      <c r="D146" s="269"/>
      <c r="E146" s="757"/>
      <c r="F146" s="544"/>
      <c r="G146" s="757"/>
      <c r="H146" s="269">
        <v>35.18</v>
      </c>
      <c r="I146" s="757">
        <v>0</v>
      </c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 t="s">
        <v>1753</v>
      </c>
      <c r="D148" s="269"/>
      <c r="E148" s="757"/>
      <c r="F148" s="544"/>
      <c r="G148" s="757"/>
      <c r="H148" s="269">
        <v>55</v>
      </c>
      <c r="I148" s="757">
        <v>0</v>
      </c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3" sqref="A3:G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1756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17"/>
      <c r="B4" s="918"/>
      <c r="C4" s="918"/>
      <c r="D4" s="918"/>
      <c r="E4" s="918"/>
      <c r="F4" s="918"/>
      <c r="G4" s="91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198244</v>
      </c>
      <c r="D13" s="34"/>
      <c r="E13" s="35" t="s">
        <v>33</v>
      </c>
      <c r="F13" s="34"/>
      <c r="G13" s="42">
        <v>19385.47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3009</v>
      </c>
      <c r="D15" s="34"/>
      <c r="E15" s="35" t="s">
        <v>10</v>
      </c>
      <c r="F15" s="34"/>
      <c r="G15" s="42">
        <v>2997.79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7460</v>
      </c>
      <c r="D17" s="34"/>
      <c r="E17" s="35" t="s">
        <v>278</v>
      </c>
      <c r="F17" s="34"/>
      <c r="G17" s="42">
        <v>6363.31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69" activePane="bottomLeft" state="frozen"/>
      <selection pane="bottomLeft" activeCell="A70" sqref="A7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662.45</v>
      </c>
      <c r="G3" s="763">
        <v>1018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61.45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1760</v>
      </c>
      <c r="D6" s="269"/>
      <c r="E6" s="757"/>
      <c r="F6" s="544">
        <v>128.41</v>
      </c>
      <c r="G6" s="757">
        <v>119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102.62</v>
      </c>
      <c r="G16" s="757">
        <v>90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1751</v>
      </c>
      <c r="D20" s="618">
        <v>179.93</v>
      </c>
      <c r="E20" s="547">
        <v>1251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19.28</v>
      </c>
      <c r="E22" s="547">
        <v>163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61.12</v>
      </c>
      <c r="E24" s="547">
        <v>757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642.53</v>
      </c>
      <c r="E25" s="547">
        <v>6520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13.89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99.44</v>
      </c>
      <c r="E27" s="547">
        <v>1306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17.37</v>
      </c>
      <c r="E29" s="547">
        <v>130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206.93</v>
      </c>
      <c r="E30" s="547">
        <v>1899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592.59</v>
      </c>
      <c r="E31" s="547">
        <v>7680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409.32</v>
      </c>
      <c r="E34" s="547">
        <v>3676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37.049999999999997</v>
      </c>
      <c r="E36" s="547">
        <v>412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17.03</v>
      </c>
      <c r="E37" s="547">
        <v>125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3975.61</v>
      </c>
      <c r="E38" s="547">
        <v>72000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13.82</v>
      </c>
      <c r="E39" s="547">
        <v>79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60.23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13.89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981.71</v>
      </c>
      <c r="E44" s="547">
        <v>12600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13.26</v>
      </c>
      <c r="E46" s="547">
        <v>71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12.08</v>
      </c>
      <c r="E48" s="547">
        <v>54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31.87</v>
      </c>
      <c r="E49" s="547">
        <v>338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290.24</v>
      </c>
      <c r="E50" s="547">
        <v>2735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321.55</v>
      </c>
      <c r="E52" s="547">
        <v>3849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114.82</v>
      </c>
      <c r="E53" s="547">
        <v>1476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925.5</v>
      </c>
      <c r="E55" s="547">
        <v>1250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11.91</v>
      </c>
      <c r="E56" s="547">
        <v>55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91.36</v>
      </c>
      <c r="E57" s="547">
        <v>168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1285.24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22.61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8.1199999999999992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25.52</v>
      </c>
      <c r="E65" s="547">
        <v>247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444.13</v>
      </c>
      <c r="E66" s="547">
        <v>7743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265.64</v>
      </c>
      <c r="E67" s="547">
        <v>160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241.18</v>
      </c>
      <c r="E68" s="547">
        <v>1728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1749</v>
      </c>
      <c r="D70" s="269">
        <v>219</v>
      </c>
      <c r="E70" s="757">
        <v>1914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114.81</v>
      </c>
      <c r="E72" s="757">
        <v>572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52</v>
      </c>
      <c r="E73" s="757">
        <v>152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84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305</v>
      </c>
      <c r="E75" s="757">
        <v>2610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153</v>
      </c>
      <c r="E76" s="757">
        <v>1294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72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80</v>
      </c>
      <c r="E78" s="757">
        <v>234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40</v>
      </c>
      <c r="E80" s="757">
        <v>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60.12</v>
      </c>
      <c r="E81" s="757">
        <v>33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/>
      <c r="D82" s="328">
        <v>66</v>
      </c>
      <c r="E82" s="763">
        <v>139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1510</v>
      </c>
      <c r="E83" s="757">
        <v>15480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2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47</v>
      </c>
      <c r="E87" s="757">
        <v>63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579"/>
      <c r="E88" s="804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579"/>
      <c r="E89" s="804"/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153</v>
      </c>
      <c r="E91" s="757">
        <v>554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107.84</v>
      </c>
      <c r="E93" s="757">
        <v>392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114</v>
      </c>
      <c r="E94" s="757">
        <v>813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1708</v>
      </c>
      <c r="E95" s="757">
        <v>18480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270</v>
      </c>
      <c r="E96" s="757">
        <v>2241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100.19</v>
      </c>
      <c r="I98" s="757">
        <v>128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119.66</v>
      </c>
      <c r="I99" s="757">
        <v>158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41.44</v>
      </c>
      <c r="I101" s="757">
        <v>24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39.83</v>
      </c>
      <c r="I107" s="757">
        <v>21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41.44</v>
      </c>
      <c r="I113" s="757">
        <v>24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1749</v>
      </c>
      <c r="D117" s="269"/>
      <c r="E117" s="757"/>
      <c r="F117" s="544"/>
      <c r="G117" s="757"/>
      <c r="H117" s="269">
        <v>136.54</v>
      </c>
      <c r="I117" s="757">
        <v>184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57.46</v>
      </c>
      <c r="I118" s="757">
        <v>54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4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42.5</v>
      </c>
      <c r="I124" s="757">
        <v>26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114.6</v>
      </c>
      <c r="I125" s="757">
        <v>93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44.11</v>
      </c>
      <c r="I126" s="757">
        <v>29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15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2102.3000000000002</v>
      </c>
      <c r="I131" s="757">
        <v>2775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2099.2399999999998</v>
      </c>
      <c r="I133" s="757">
        <v>2771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39.299999999999997</v>
      </c>
      <c r="I136" s="757">
        <v>16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430.01</v>
      </c>
      <c r="I137" s="757">
        <v>589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336.68</v>
      </c>
      <c r="I138" s="757">
        <v>467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39.299999999999997</v>
      </c>
      <c r="I139" s="757">
        <v>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1749</v>
      </c>
      <c r="D141" s="269"/>
      <c r="E141" s="757"/>
      <c r="F141" s="544"/>
      <c r="G141" s="757"/>
      <c r="H141" s="269">
        <v>49.5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13"/>
      <c r="B4" s="914"/>
      <c r="C4" s="914"/>
      <c r="D4" s="914"/>
      <c r="E4" s="914"/>
      <c r="F4" s="914"/>
      <c r="G4" s="91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449679.7</v>
      </c>
      <c r="D13" s="34"/>
      <c r="E13" s="35" t="s">
        <v>33</v>
      </c>
      <c r="F13" s="34"/>
      <c r="G13" s="42">
        <v>23071.48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2048</v>
      </c>
      <c r="D15" s="34"/>
      <c r="E15" s="35" t="s">
        <v>10</v>
      </c>
      <c r="F15" s="34"/>
      <c r="G15" s="42">
        <v>1777.45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8945</v>
      </c>
      <c r="D17" s="34"/>
      <c r="E17" s="35" t="s">
        <v>278</v>
      </c>
      <c r="F17" s="34"/>
      <c r="G17" s="42">
        <v>7302.79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A8" sqref="A8:XFD1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1744</v>
      </c>
      <c r="D3" s="328"/>
      <c r="E3" s="763"/>
      <c r="F3" s="620">
        <v>542.19000000000005</v>
      </c>
      <c r="G3" s="763">
        <v>936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1744</v>
      </c>
      <c r="D4" s="269"/>
      <c r="E4" s="757"/>
      <c r="F4" s="544">
        <v>58.32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1740</v>
      </c>
      <c r="D5" s="328"/>
      <c r="E5" s="763"/>
      <c r="F5" s="620">
        <v>58.35</v>
      </c>
      <c r="G5" s="763">
        <v>17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1742</v>
      </c>
      <c r="D6" s="269"/>
      <c r="E6" s="757"/>
      <c r="F6" s="544">
        <v>56.24</v>
      </c>
      <c r="G6" s="757">
        <v>13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1741</v>
      </c>
      <c r="D7" s="269"/>
      <c r="E7" s="757"/>
      <c r="F7" s="544">
        <v>52.27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1740</v>
      </c>
      <c r="D8" s="269"/>
      <c r="E8" s="757"/>
      <c r="F8" s="544">
        <v>52.77</v>
      </c>
      <c r="G8" s="757">
        <v>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1744</v>
      </c>
      <c r="D9" s="269"/>
      <c r="E9" s="757"/>
      <c r="F9" s="544">
        <v>55.19</v>
      </c>
      <c r="G9" s="757">
        <v>11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1744</v>
      </c>
      <c r="D10" s="269"/>
      <c r="E10" s="757"/>
      <c r="F10" s="544">
        <v>66.260000000000005</v>
      </c>
      <c r="G10" s="757">
        <v>32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1743</v>
      </c>
      <c r="D11" s="269"/>
      <c r="E11" s="757"/>
      <c r="F11" s="544">
        <v>56.91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1740</v>
      </c>
      <c r="D12" s="269"/>
      <c r="E12" s="757"/>
      <c r="F12" s="544">
        <v>48.76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75.8</v>
      </c>
      <c r="G13" s="757">
        <v>45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432.5</v>
      </c>
      <c r="G14" s="757">
        <v>863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1742</v>
      </c>
      <c r="D15" s="269"/>
      <c r="E15" s="757"/>
      <c r="F15" s="544">
        <v>54.67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1744</v>
      </c>
      <c r="D16" s="269"/>
      <c r="E16" s="757"/>
      <c r="F16" s="544">
        <v>85.74</v>
      </c>
      <c r="G16" s="757">
        <v>69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1739</v>
      </c>
      <c r="D20" s="618">
        <v>257.04000000000002</v>
      </c>
      <c r="E20" s="547">
        <v>3091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121.33</v>
      </c>
      <c r="E22" s="547">
        <v>1681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17.27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92.6</v>
      </c>
      <c r="E24" s="547">
        <v>1227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948.81</v>
      </c>
      <c r="E25" s="547">
        <v>11920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136.85</v>
      </c>
      <c r="E27" s="547">
        <v>1871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17.62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19.079999999999998</v>
      </c>
      <c r="E29" s="547">
        <v>157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296.76</v>
      </c>
      <c r="E30" s="547">
        <v>3346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640.28</v>
      </c>
      <c r="E31" s="547">
        <v>9360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17.62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404.16</v>
      </c>
      <c r="E34" s="547">
        <v>5574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10.92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125.93</v>
      </c>
      <c r="E36" s="547">
        <v>1712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17.03</v>
      </c>
      <c r="E37" s="547">
        <v>127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5383.98</v>
      </c>
      <c r="E38" s="547">
        <v>103700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13.03</v>
      </c>
      <c r="E39" s="547">
        <v>69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55.79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20.170000000000002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17.62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1381.12</v>
      </c>
      <c r="E44" s="547">
        <v>21240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10.92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9.61</v>
      </c>
      <c r="E46" s="547">
        <v>19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107.34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23.08</v>
      </c>
      <c r="E48" s="547">
        <v>215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73.56</v>
      </c>
      <c r="E49" s="547">
        <v>950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330.08</v>
      </c>
      <c r="E50" s="547">
        <v>3567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8.43</v>
      </c>
      <c r="E51" s="547">
        <v>2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448.19</v>
      </c>
      <c r="E52" s="547">
        <v>7079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206.84</v>
      </c>
      <c r="E53" s="547">
        <v>2828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15.08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1200.25</v>
      </c>
      <c r="E55" s="547">
        <v>18300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18.7</v>
      </c>
      <c r="E56" s="547">
        <v>157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66.31</v>
      </c>
      <c r="E57" s="547">
        <v>1270.7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22.37</v>
      </c>
      <c r="E59" s="547">
        <v>80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177.02</v>
      </c>
      <c r="E61" s="547">
        <v>600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837.37</v>
      </c>
      <c r="E62" s="547">
        <v>4800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11.18</v>
      </c>
      <c r="E64" s="547">
        <v>42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450.61</v>
      </c>
      <c r="E65" s="547">
        <v>7527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279.57</v>
      </c>
      <c r="E66" s="547">
        <v>800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321.87</v>
      </c>
      <c r="E67" s="547">
        <v>3754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321.87</v>
      </c>
      <c r="E68" s="547">
        <v>3754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1745</v>
      </c>
      <c r="D70" s="269">
        <v>334</v>
      </c>
      <c r="E70" s="757">
        <v>3177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1745</v>
      </c>
      <c r="D71" s="269">
        <v>173</v>
      </c>
      <c r="E71" s="757">
        <v>1261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1745</v>
      </c>
      <c r="D72" s="269">
        <v>97</v>
      </c>
      <c r="E72" s="757">
        <v>456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1745</v>
      </c>
      <c r="D73" s="269">
        <v>49</v>
      </c>
      <c r="E73" s="757">
        <v>157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1745</v>
      </c>
      <c r="D74" s="269">
        <v>42</v>
      </c>
      <c r="E74" s="757">
        <v>79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152</v>
      </c>
      <c r="E75" s="757">
        <v>1335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1745</v>
      </c>
      <c r="D76" s="269">
        <v>152</v>
      </c>
      <c r="E76" s="757">
        <v>1335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1745</v>
      </c>
      <c r="D77" s="269">
        <v>57</v>
      </c>
      <c r="E77" s="757">
        <v>242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1745</v>
      </c>
      <c r="D78" s="269">
        <v>85</v>
      </c>
      <c r="E78" s="757">
        <v>329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1745</v>
      </c>
      <c r="D79" s="269">
        <v>35</v>
      </c>
      <c r="E79" s="757">
        <v>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1745</v>
      </c>
      <c r="D80" s="269">
        <v>37</v>
      </c>
      <c r="E80" s="757">
        <v>25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1745</v>
      </c>
      <c r="D81" s="269">
        <v>62.47</v>
      </c>
      <c r="E81" s="757">
        <v>90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1745</v>
      </c>
      <c r="D82" s="328">
        <v>116</v>
      </c>
      <c r="E82" s="763">
        <v>703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1745</v>
      </c>
      <c r="D83" s="269">
        <v>2035</v>
      </c>
      <c r="E83" s="757">
        <v>180000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1745</v>
      </c>
      <c r="D85" s="269">
        <v>94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1745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1745</v>
      </c>
      <c r="D87" s="269">
        <v>60</v>
      </c>
      <c r="E87" s="757" t="s">
        <v>1746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287</v>
      </c>
      <c r="E88" s="757">
        <v>1811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150</v>
      </c>
      <c r="E89" s="757">
        <v>850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1745</v>
      </c>
      <c r="D90" s="674">
        <v>276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1745</v>
      </c>
      <c r="D91" s="269">
        <v>178</v>
      </c>
      <c r="E91" s="757">
        <v>850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1745</v>
      </c>
      <c r="D92" s="269">
        <v>81</v>
      </c>
      <c r="E92" s="757">
        <v>282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1745</v>
      </c>
      <c r="D93" s="269">
        <v>100</v>
      </c>
      <c r="E93" s="757">
        <v>497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1745</v>
      </c>
      <c r="D94" s="269">
        <v>86</v>
      </c>
      <c r="E94" s="757">
        <v>542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1745</v>
      </c>
      <c r="D95" s="269">
        <v>2243</v>
      </c>
      <c r="E95" s="757">
        <v>26040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1745</v>
      </c>
      <c r="D96" s="269">
        <v>279</v>
      </c>
      <c r="E96" s="757">
        <v>2382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1745</v>
      </c>
      <c r="D98" s="269"/>
      <c r="E98" s="757"/>
      <c r="F98" s="544"/>
      <c r="G98" s="757"/>
      <c r="H98" s="269">
        <v>139.78</v>
      </c>
      <c r="I98" s="757">
        <v>189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1745</v>
      </c>
      <c r="D99" s="269"/>
      <c r="E99" s="757"/>
      <c r="F99" s="544"/>
      <c r="G99" s="757"/>
      <c r="H99" s="269">
        <v>240.88</v>
      </c>
      <c r="I99" s="757">
        <v>337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43.57</v>
      </c>
      <c r="I101" s="757">
        <v>28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46.78</v>
      </c>
      <c r="I102" s="757">
        <v>34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12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50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40.369999999999997</v>
      </c>
      <c r="I111" s="757">
        <v>22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1745</v>
      </c>
      <c r="D113" s="269"/>
      <c r="E113" s="757"/>
      <c r="F113" s="544"/>
      <c r="G113" s="757"/>
      <c r="H113" s="269">
        <v>39.299999999999997</v>
      </c>
      <c r="I113" s="757">
        <v>6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47.31</v>
      </c>
      <c r="I115" s="757">
        <v>35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195.05</v>
      </c>
      <c r="I117" s="757">
        <v>275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96.3</v>
      </c>
      <c r="I118" s="757">
        <v>122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1745</v>
      </c>
      <c r="D124" s="269"/>
      <c r="E124" s="757"/>
      <c r="F124" s="544"/>
      <c r="G124" s="757"/>
      <c r="H124" s="269">
        <v>225.33</v>
      </c>
      <c r="I124" s="757">
        <v>315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52.65</v>
      </c>
      <c r="I126" s="757">
        <v>450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1745</v>
      </c>
      <c r="D127" s="269"/>
      <c r="E127" s="757"/>
      <c r="F127" s="544"/>
      <c r="G127" s="757"/>
      <c r="H127" s="269">
        <v>39.299999999999997</v>
      </c>
      <c r="I127" s="757">
        <v>16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1745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39.299999999999997</v>
      </c>
      <c r="I129" s="757">
        <v>18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2219.34</v>
      </c>
      <c r="I131" s="757">
        <v>2928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2279.7800000000002</v>
      </c>
      <c r="I133" s="757">
        <v>3007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/>
      <c r="I135" s="757"/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/>
      <c r="I136" s="757"/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480.5</v>
      </c>
      <c r="I137" s="757">
        <v>655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338.97</v>
      </c>
      <c r="I138" s="757">
        <v>470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44084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1747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8" sqref="C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1748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10"/>
      <c r="B4" s="911"/>
      <c r="C4" s="911"/>
      <c r="D4" s="911"/>
      <c r="E4" s="911"/>
      <c r="F4" s="911"/>
      <c r="G4" s="91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275561</v>
      </c>
      <c r="D13" s="34"/>
      <c r="E13" s="35" t="s">
        <v>33</v>
      </c>
      <c r="F13" s="34"/>
      <c r="G13" s="42">
        <v>24971.27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1770</v>
      </c>
      <c r="D15" s="34"/>
      <c r="E15" s="35" t="s">
        <v>10</v>
      </c>
      <c r="F15" s="34"/>
      <c r="G15" s="42">
        <v>1651.85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10498</v>
      </c>
      <c r="D17" s="34"/>
      <c r="E17" s="35" t="s">
        <v>278</v>
      </c>
      <c r="F17" s="34"/>
      <c r="G17" s="42">
        <v>8929.1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2196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60"/>
      <c r="B4" s="1061"/>
      <c r="C4" s="1061"/>
      <c r="D4" s="1061"/>
      <c r="E4" s="1061"/>
      <c r="F4" s="1061"/>
      <c r="G4" s="106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300566</v>
      </c>
      <c r="D13" s="34"/>
      <c r="E13" s="35" t="s">
        <v>33</v>
      </c>
      <c r="F13" s="34"/>
      <c r="G13" s="42">
        <v>26757.72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1120</v>
      </c>
      <c r="D15" s="34"/>
      <c r="E15" s="35" t="s">
        <v>10</v>
      </c>
      <c r="F15" s="34"/>
      <c r="G15" s="42">
        <v>1173.3499999999999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15188</v>
      </c>
      <c r="D17" s="34"/>
      <c r="E17" s="35" t="s">
        <v>278</v>
      </c>
      <c r="F17" s="34"/>
      <c r="G17" s="42">
        <v>12250.39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" activePane="bottomLeft" state="frozen"/>
      <selection pane="bottomLeft" activeCell="A13" sqref="A13:XFD1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1740</v>
      </c>
      <c r="D3" s="328"/>
      <c r="E3" s="763"/>
      <c r="F3" s="620">
        <v>542.19000000000005</v>
      </c>
      <c r="G3" s="763">
        <v>936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1725</v>
      </c>
      <c r="D4" s="269"/>
      <c r="E4" s="757"/>
      <c r="F4" s="544">
        <v>115.1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1725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1726</v>
      </c>
      <c r="D6" s="269"/>
      <c r="E6" s="757"/>
      <c r="F6" s="544">
        <v>56.47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1741</v>
      </c>
      <c r="D7" s="269"/>
      <c r="E7" s="757"/>
      <c r="F7" s="544">
        <v>52.27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1725</v>
      </c>
      <c r="D8" s="269"/>
      <c r="E8" s="757"/>
      <c r="F8" s="544">
        <v>48.76</v>
      </c>
      <c r="G8" s="757">
        <v>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1725</v>
      </c>
      <c r="D9" s="269"/>
      <c r="E9" s="757"/>
      <c r="F9" s="544">
        <v>55.97</v>
      </c>
      <c r="G9" s="757">
        <v>13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1725</v>
      </c>
      <c r="D10" s="269"/>
      <c r="E10" s="757"/>
      <c r="F10" s="544">
        <v>66.56</v>
      </c>
      <c r="G10" s="757">
        <v>34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1725</v>
      </c>
      <c r="D11" s="269"/>
      <c r="E11" s="757"/>
      <c r="F11" s="544">
        <v>55.12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1725</v>
      </c>
      <c r="D12" s="269"/>
      <c r="E12" s="757"/>
      <c r="F12" s="544">
        <v>49.24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1727</v>
      </c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1725</v>
      </c>
      <c r="D15" s="269"/>
      <c r="E15" s="757"/>
      <c r="F15" s="544">
        <v>47.33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1725</v>
      </c>
      <c r="D16" s="269"/>
      <c r="E16" s="757"/>
      <c r="F16" s="544">
        <v>86.75</v>
      </c>
      <c r="G16" s="757">
        <v>74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1727</v>
      </c>
      <c r="D17" s="269"/>
      <c r="E17" s="757"/>
      <c r="F17" s="544">
        <v>31.46</v>
      </c>
      <c r="G17" s="757">
        <v>15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1727</v>
      </c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1724</v>
      </c>
      <c r="D20" s="618">
        <v>307.91000000000003</v>
      </c>
      <c r="E20" s="547">
        <v>13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85.87</v>
      </c>
      <c r="E22" s="547">
        <v>1154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17.27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102.63</v>
      </c>
      <c r="E24" s="547">
        <v>1373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969</v>
      </c>
      <c r="E25" s="547">
        <v>12480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120.43</v>
      </c>
      <c r="E27" s="547">
        <v>1632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17.62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17.239999999999998</v>
      </c>
      <c r="E29" s="547">
        <v>130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270.77</v>
      </c>
      <c r="E30" s="547">
        <v>3094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687.65</v>
      </c>
      <c r="E31" s="547">
        <v>10440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17.62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370.88</v>
      </c>
      <c r="E34" s="547">
        <v>4870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10.92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113.96</v>
      </c>
      <c r="E36" s="547">
        <v>1538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1670</v>
      </c>
      <c r="B37" s="546" t="s">
        <v>1671</v>
      </c>
      <c r="C37" s="546"/>
      <c r="D37" s="618">
        <v>17.3</v>
      </c>
      <c r="E37" s="547">
        <v>131</v>
      </c>
      <c r="F37" s="548"/>
      <c r="G37" s="547"/>
      <c r="H37" s="618"/>
      <c r="I37" s="547"/>
      <c r="J37" s="546"/>
      <c r="K37" s="546"/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4687.8100000000004</v>
      </c>
      <c r="E38" s="547">
        <v>87900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12.62</v>
      </c>
      <c r="E39" s="547">
        <v>63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55.79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20.170000000000002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17.62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1447.97</v>
      </c>
      <c r="E44" s="547">
        <v>22860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10.92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9.74</v>
      </c>
      <c r="E46" s="547">
        <v>21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903">
        <v>107.35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1711</v>
      </c>
      <c r="B48" s="546" t="s">
        <v>1674</v>
      </c>
      <c r="C48" s="546"/>
      <c r="D48" s="903">
        <v>8.43</v>
      </c>
      <c r="E48" s="547">
        <v>2</v>
      </c>
      <c r="F48" s="54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54.26</v>
      </c>
      <c r="E49" s="547">
        <v>669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618"/>
      <c r="D50" s="618">
        <v>348.76</v>
      </c>
      <c r="E50" s="547">
        <v>3851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8.3000000000000007</v>
      </c>
      <c r="E51" s="547">
        <v>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377.06</v>
      </c>
      <c r="E52" s="547">
        <v>5340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156.63999999999999</v>
      </c>
      <c r="E53" s="547">
        <v>2130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618">
        <v>1279.81</v>
      </c>
      <c r="E54" s="547">
        <v>19380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618">
        <v>20.71</v>
      </c>
      <c r="E55" s="547">
        <v>187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618">
        <v>40.96</v>
      </c>
      <c r="E56" s="547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618">
        <v>1270.7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618">
        <v>22.37</v>
      </c>
      <c r="E59" s="547">
        <v>80</v>
      </c>
      <c r="F59" s="54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618">
        <v>837.37</v>
      </c>
      <c r="E61" s="547">
        <v>4800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18">
        <v>177.01</v>
      </c>
      <c r="E62" s="547">
        <v>600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1712</v>
      </c>
      <c r="B64" s="546" t="s">
        <v>1713</v>
      </c>
      <c r="C64" s="546"/>
      <c r="D64" s="618">
        <v>11.12</v>
      </c>
      <c r="E64" s="547">
        <v>41</v>
      </c>
      <c r="F64" s="54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618">
        <v>520</v>
      </c>
      <c r="E65" s="547">
        <v>7607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618">
        <v>342.99</v>
      </c>
      <c r="E66" s="547">
        <v>2560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618">
        <v>296.70999999999998</v>
      </c>
      <c r="E67" s="547">
        <v>3042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1728</v>
      </c>
      <c r="D69" s="269">
        <v>353</v>
      </c>
      <c r="E69" s="757">
        <v>3403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1728</v>
      </c>
      <c r="D70" s="269">
        <v>207</v>
      </c>
      <c r="E70" s="757">
        <v>1625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1728</v>
      </c>
      <c r="D71" s="269">
        <v>93</v>
      </c>
      <c r="E71" s="757">
        <v>410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1728</v>
      </c>
      <c r="D72" s="269">
        <v>48</v>
      </c>
      <c r="E72" s="757">
        <v>146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1728</v>
      </c>
      <c r="D73" s="269">
        <v>42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1728</v>
      </c>
      <c r="D74" s="269">
        <v>243</v>
      </c>
      <c r="E74" s="757">
        <v>2016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1728</v>
      </c>
      <c r="D75" s="269">
        <v>165</v>
      </c>
      <c r="E75" s="757">
        <v>1484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1728</v>
      </c>
      <c r="D76" s="269">
        <v>57</v>
      </c>
      <c r="E76" s="757">
        <v>236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1728</v>
      </c>
      <c r="D77" s="269">
        <v>87</v>
      </c>
      <c r="E77" s="757">
        <v>348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1728</v>
      </c>
      <c r="D78" s="269">
        <v>35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1728</v>
      </c>
      <c r="D79" s="269">
        <v>35</v>
      </c>
      <c r="E79" s="757">
        <v>10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1728</v>
      </c>
      <c r="D80" s="269">
        <v>66.180000000000007</v>
      </c>
      <c r="E80" s="757">
        <v>130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1728</v>
      </c>
      <c r="D81" s="328">
        <v>127</v>
      </c>
      <c r="E81" s="763">
        <v>823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1728</v>
      </c>
      <c r="D82" s="269">
        <v>1521</v>
      </c>
      <c r="E82" s="757">
        <v>17040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1728</v>
      </c>
      <c r="D84" s="269">
        <v>94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1728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1728</v>
      </c>
      <c r="D86" s="269">
        <v>42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1728</v>
      </c>
      <c r="D87" s="269">
        <v>282.08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 t="s">
        <v>1728</v>
      </c>
      <c r="D88" s="269">
        <v>243</v>
      </c>
      <c r="E88" s="757">
        <v>168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1728</v>
      </c>
      <c r="D89" s="674">
        <v>272</v>
      </c>
      <c r="E89" s="771">
        <v>0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 t="s">
        <v>1728</v>
      </c>
      <c r="D90" s="269">
        <v>2194</v>
      </c>
      <c r="E90" s="757">
        <v>1032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1728</v>
      </c>
      <c r="D92" s="269">
        <v>107</v>
      </c>
      <c r="E92" s="757">
        <v>576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1728</v>
      </c>
      <c r="D93" s="269">
        <v>94</v>
      </c>
      <c r="E93" s="757">
        <v>630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1728</v>
      </c>
      <c r="D94" s="269">
        <v>2149</v>
      </c>
      <c r="E94" s="757">
        <v>26280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1728</v>
      </c>
      <c r="D95" s="269">
        <v>269</v>
      </c>
      <c r="E95" s="757">
        <v>2295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1728</v>
      </c>
      <c r="D97" s="269"/>
      <c r="E97" s="757"/>
      <c r="F97" s="544"/>
      <c r="G97" s="757"/>
      <c r="H97" s="269">
        <v>127.45</v>
      </c>
      <c r="I97" s="757">
        <v>170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1728</v>
      </c>
      <c r="D98" s="269"/>
      <c r="E98" s="757"/>
      <c r="F98" s="544"/>
      <c r="G98" s="757"/>
      <c r="H98" s="269">
        <v>267.75</v>
      </c>
      <c r="I98" s="757">
        <v>375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1728</v>
      </c>
      <c r="D99" s="269"/>
      <c r="E99" s="757"/>
      <c r="F99" s="544"/>
      <c r="G99" s="757"/>
      <c r="H99" s="269">
        <v>63.86</v>
      </c>
      <c r="I99" s="757">
        <v>66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1728</v>
      </c>
      <c r="D100" s="269"/>
      <c r="E100" s="757"/>
      <c r="F100" s="544"/>
      <c r="G100" s="757"/>
      <c r="H100" s="269">
        <v>44.64</v>
      </c>
      <c r="I100" s="757">
        <v>30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1728</v>
      </c>
      <c r="D101" s="269"/>
      <c r="E101" s="757"/>
      <c r="F101" s="544"/>
      <c r="G101" s="757"/>
      <c r="H101" s="269">
        <v>48.91</v>
      </c>
      <c r="I101" s="757">
        <v>38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1728</v>
      </c>
      <c r="D102" s="269"/>
      <c r="E102" s="757"/>
      <c r="F102" s="544"/>
      <c r="G102" s="757"/>
      <c r="H102" s="269">
        <v>39.299999999999997</v>
      </c>
      <c r="I102" s="757">
        <v>12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1728</v>
      </c>
      <c r="D103" s="269"/>
      <c r="E103" s="757"/>
      <c r="F103" s="544"/>
      <c r="G103" s="757"/>
      <c r="H103" s="269">
        <v>56.92</v>
      </c>
      <c r="I103" s="757">
        <v>53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1728</v>
      </c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1728</v>
      </c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1728</v>
      </c>
      <c r="D106" s="269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1728</v>
      </c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1728</v>
      </c>
      <c r="D108" s="242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1728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1728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1728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1728</v>
      </c>
      <c r="D112" s="269"/>
      <c r="E112" s="757"/>
      <c r="F112" s="544"/>
      <c r="G112" s="757"/>
      <c r="H112" s="269">
        <v>39.299999999999997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1728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1728</v>
      </c>
      <c r="D114" s="269"/>
      <c r="E114" s="757"/>
      <c r="F114" s="544"/>
      <c r="G114" s="757"/>
      <c r="H114" s="269">
        <v>39.299999999999997</v>
      </c>
      <c r="I114" s="757">
        <v>8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1728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1728</v>
      </c>
      <c r="D116" s="269"/>
      <c r="E116" s="757"/>
      <c r="F116" s="544"/>
      <c r="G116" s="757"/>
      <c r="H116" s="269">
        <v>136.54</v>
      </c>
      <c r="I116" s="757">
        <v>186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1728</v>
      </c>
      <c r="D117" s="269"/>
      <c r="E117" s="757"/>
      <c r="F117" s="544"/>
      <c r="G117" s="757"/>
      <c r="H117" s="269">
        <v>139.13</v>
      </c>
      <c r="I117" s="757">
        <v>188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1728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1728</v>
      </c>
      <c r="D119" s="269"/>
      <c r="E119" s="757"/>
      <c r="F119" s="544"/>
      <c r="G119" s="757"/>
      <c r="H119" s="269">
        <v>39.299999999999997</v>
      </c>
      <c r="I119" s="757">
        <v>8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1728</v>
      </c>
      <c r="D120" s="269"/>
      <c r="E120" s="757"/>
      <c r="F120" s="544"/>
      <c r="G120" s="757"/>
      <c r="H120" s="269">
        <v>39.299999999999997</v>
      </c>
      <c r="I120" s="757">
        <v>2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1728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1728</v>
      </c>
      <c r="D123" s="269"/>
      <c r="E123" s="757"/>
      <c r="F123" s="544"/>
      <c r="G123" s="757"/>
      <c r="H123" s="269">
        <v>127.45</v>
      </c>
      <c r="I123" s="757">
        <v>170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1728</v>
      </c>
      <c r="D125" s="269"/>
      <c r="E125" s="757"/>
      <c r="F125" s="544"/>
      <c r="G125" s="757"/>
      <c r="H125" s="269">
        <v>116.93</v>
      </c>
      <c r="I125" s="757">
        <v>27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1728</v>
      </c>
      <c r="D126" s="269"/>
      <c r="E126" s="757"/>
      <c r="F126" s="544"/>
      <c r="G126" s="757"/>
      <c r="H126" s="269">
        <v>39.299999999999997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1728</v>
      </c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1731</v>
      </c>
      <c r="D128" s="269"/>
      <c r="E128" s="757"/>
      <c r="F128" s="544"/>
      <c r="G128" s="757"/>
      <c r="H128" s="269">
        <v>39.299999999999997</v>
      </c>
      <c r="I128" s="757">
        <v>15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1731</v>
      </c>
      <c r="D130" s="269"/>
      <c r="E130" s="757"/>
      <c r="F130" s="544"/>
      <c r="G130" s="757"/>
      <c r="H130" s="269">
        <v>1960.77</v>
      </c>
      <c r="I130" s="757">
        <v>2590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1731</v>
      </c>
      <c r="D131" s="269"/>
      <c r="E131" s="757"/>
      <c r="F131" s="544"/>
      <c r="G131" s="757"/>
      <c r="H131" s="269">
        <v>984.63</v>
      </c>
      <c r="I131" s="757">
        <v>1314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1731</v>
      </c>
      <c r="D132" s="269"/>
      <c r="E132" s="757"/>
      <c r="F132" s="544"/>
      <c r="G132" s="757"/>
      <c r="H132" s="269">
        <v>2958.33</v>
      </c>
      <c r="I132" s="757">
        <v>3894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1731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1731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1731</v>
      </c>
      <c r="D135" s="269"/>
      <c r="E135" s="757"/>
      <c r="F135" s="544"/>
      <c r="G135" s="757"/>
      <c r="H135" s="269">
        <v>47.84</v>
      </c>
      <c r="I135" s="757">
        <v>36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1731</v>
      </c>
      <c r="D136" s="269"/>
      <c r="E136" s="757"/>
      <c r="F136" s="544"/>
      <c r="G136" s="757"/>
      <c r="H136" s="269">
        <v>390.23</v>
      </c>
      <c r="I136" s="757">
        <v>537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1731</v>
      </c>
      <c r="D137" s="269"/>
      <c r="E137" s="757"/>
      <c r="F137" s="544"/>
      <c r="G137" s="757"/>
      <c r="H137" s="269">
        <v>316.02</v>
      </c>
      <c r="I137" s="757">
        <v>440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1728</v>
      </c>
      <c r="D140" s="269"/>
      <c r="E140" s="757"/>
      <c r="F140" s="544"/>
      <c r="G140" s="757"/>
      <c r="H140" s="269">
        <v>52</v>
      </c>
      <c r="I140" s="757">
        <v>100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1728</v>
      </c>
      <c r="D141" s="269"/>
      <c r="E141" s="757"/>
      <c r="F141" s="544"/>
      <c r="G141" s="757"/>
      <c r="H141" s="269">
        <v>68</v>
      </c>
      <c r="I141" s="757">
        <v>400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1726</v>
      </c>
      <c r="D145" s="269"/>
      <c r="E145" s="757"/>
      <c r="F145" s="544"/>
      <c r="G145" s="757"/>
      <c r="H145" s="269">
        <v>35</v>
      </c>
      <c r="I145" s="757">
        <v>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 t="s">
        <v>356</v>
      </c>
      <c r="C147" s="289" t="s">
        <v>1729</v>
      </c>
      <c r="D147" s="269"/>
      <c r="E147" s="757"/>
      <c r="F147" s="544"/>
      <c r="G147" s="757"/>
      <c r="H147" s="269">
        <v>122.1</v>
      </c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1730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07"/>
      <c r="B4" s="908"/>
      <c r="C4" s="908"/>
      <c r="D4" s="908"/>
      <c r="E4" s="908"/>
      <c r="F4" s="908"/>
      <c r="G4" s="90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954637</v>
      </c>
      <c r="D13" s="34"/>
      <c r="E13" s="35" t="s">
        <v>33</v>
      </c>
      <c r="F13" s="34"/>
      <c r="G13" s="42">
        <v>21443.64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2515</v>
      </c>
      <c r="D15" s="34"/>
      <c r="E15" s="35" t="s">
        <v>10</v>
      </c>
      <c r="F15" s="34"/>
      <c r="G15" s="42">
        <v>1942.4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8806</v>
      </c>
      <c r="D17" s="34"/>
      <c r="E17" s="35" t="s">
        <v>278</v>
      </c>
      <c r="F17" s="34"/>
      <c r="G17" s="42">
        <v>7289.91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78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1723</v>
      </c>
      <c r="D3" s="328"/>
      <c r="E3" s="763"/>
      <c r="F3" s="620">
        <v>562.09</v>
      </c>
      <c r="G3" s="763">
        <v>1016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1725</v>
      </c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1631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1718</v>
      </c>
      <c r="D6" s="269"/>
      <c r="E6" s="757"/>
      <c r="F6" s="544">
        <v>56.69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1695</v>
      </c>
      <c r="D7" s="269"/>
      <c r="E7" s="757"/>
      <c r="F7" s="544">
        <v>49.16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1714</v>
      </c>
      <c r="D8" s="269"/>
      <c r="E8" s="757"/>
      <c r="F8" s="544">
        <v>49.98</v>
      </c>
      <c r="G8" s="757">
        <v>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1696</v>
      </c>
      <c r="D9" s="269"/>
      <c r="E9" s="757"/>
      <c r="F9" s="544">
        <v>61.41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1715</v>
      </c>
      <c r="D10" s="269"/>
      <c r="E10" s="757"/>
      <c r="F10" s="544">
        <v>61.83</v>
      </c>
      <c r="G10" s="757">
        <v>29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1715</v>
      </c>
      <c r="D11" s="269"/>
      <c r="E11" s="757"/>
      <c r="F11" s="544">
        <v>56.27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1714</v>
      </c>
      <c r="D12" s="269"/>
      <c r="E12" s="757"/>
      <c r="F12" s="544">
        <v>49.16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1727</v>
      </c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1725</v>
      </c>
      <c r="D15" s="269"/>
      <c r="E15" s="757"/>
      <c r="F15" s="544">
        <v>47.33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1715</v>
      </c>
      <c r="D16" s="269"/>
      <c r="E16" s="757"/>
      <c r="F16" s="544">
        <v>54.97</v>
      </c>
      <c r="G16" s="757">
        <v>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1719</v>
      </c>
      <c r="D17" s="269"/>
      <c r="E17" s="757"/>
      <c r="F17" s="544">
        <v>30.46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1701</v>
      </c>
      <c r="D18" s="269"/>
      <c r="E18" s="757"/>
      <c r="F18" s="544">
        <v>39.020000000000003</v>
      </c>
      <c r="G18" s="757">
        <v>35</v>
      </c>
      <c r="H18" s="269"/>
      <c r="I18" s="757"/>
      <c r="J18" s="245" t="s">
        <v>10</v>
      </c>
      <c r="K18" s="245"/>
      <c r="L18" s="245"/>
    </row>
    <row r="19" spans="1:12" s="584" customFormat="1" ht="21.7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767">
        <v>43992</v>
      </c>
      <c r="D20" s="618">
        <v>255.48</v>
      </c>
      <c r="E20" s="547">
        <v>3062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14.85</v>
      </c>
      <c r="E22" s="547">
        <v>100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17.190000000000001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85.99</v>
      </c>
      <c r="E24" s="547">
        <v>1135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794.69</v>
      </c>
      <c r="E25" s="547">
        <v>8720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101.34</v>
      </c>
      <c r="E27" s="547">
        <v>1359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17.54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17.55</v>
      </c>
      <c r="E29" s="547">
        <v>135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246.01</v>
      </c>
      <c r="E30" s="547">
        <v>2423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583.25</v>
      </c>
      <c r="E31" s="547">
        <v>8280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17.54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22.12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287.47000000000003</v>
      </c>
      <c r="E34" s="547">
        <v>3075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10.88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126.07</v>
      </c>
      <c r="E36" s="547">
        <v>1720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1670</v>
      </c>
      <c r="B37" s="546" t="s">
        <v>1671</v>
      </c>
      <c r="C37" s="546"/>
      <c r="D37" s="618">
        <v>16.23</v>
      </c>
      <c r="E37" s="547">
        <v>116</v>
      </c>
      <c r="F37" s="548"/>
      <c r="G37" s="547"/>
      <c r="H37" s="618"/>
      <c r="I37" s="547"/>
      <c r="J37" s="546"/>
      <c r="K37" s="546"/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4341.74</v>
      </c>
      <c r="E38" s="547">
        <v>792000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14.04</v>
      </c>
      <c r="E39" s="547">
        <v>84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54.71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20.100000000000001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17.54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1260.3399999999999</v>
      </c>
      <c r="E44" s="547">
        <v>16800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10.88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9.61</v>
      </c>
      <c r="E46" s="547">
        <v>19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903">
        <v>106.93</v>
      </c>
      <c r="E47" s="547">
        <v>77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1711</v>
      </c>
      <c r="B48" s="546" t="s">
        <v>1674</v>
      </c>
      <c r="C48" s="546"/>
      <c r="D48" s="903">
        <v>8.3000000000000007</v>
      </c>
      <c r="E48" s="547">
        <v>0</v>
      </c>
      <c r="F48" s="54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8.3000000000000007</v>
      </c>
      <c r="E49" s="547">
        <v>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618"/>
      <c r="D50" s="618">
        <v>321.48</v>
      </c>
      <c r="E50" s="547">
        <v>3117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340.01</v>
      </c>
      <c r="E52" s="547">
        <v>4098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133.71</v>
      </c>
      <c r="E53" s="547">
        <v>1816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618">
        <v>1064.49</v>
      </c>
      <c r="E54" s="547">
        <v>14940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618">
        <v>17.48</v>
      </c>
      <c r="E55" s="547">
        <v>139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618">
        <v>67.81</v>
      </c>
      <c r="E56" s="547">
        <v>45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618">
        <v>1264.96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618">
        <v>453.27</v>
      </c>
      <c r="E58" s="547">
        <v>270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618">
        <v>22.33</v>
      </c>
      <c r="E59" s="547">
        <v>80</v>
      </c>
      <c r="F59" s="54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618">
        <v>320.58999999999997</v>
      </c>
      <c r="E60" s="547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618">
        <v>834.85</v>
      </c>
      <c r="E61" s="547">
        <v>4800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18">
        <v>176.7</v>
      </c>
      <c r="E62" s="547">
        <v>600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1712</v>
      </c>
      <c r="B64" s="546" t="s">
        <v>1713</v>
      </c>
      <c r="C64" s="546"/>
      <c r="D64" s="618">
        <v>11.31</v>
      </c>
      <c r="E64" s="547">
        <v>44</v>
      </c>
      <c r="F64" s="54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618">
        <v>591.32000000000005</v>
      </c>
      <c r="E65" s="547">
        <v>9288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618">
        <v>356.51</v>
      </c>
      <c r="E66" s="547">
        <v>2960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618">
        <v>275.83</v>
      </c>
      <c r="E67" s="547">
        <v>2472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1717</v>
      </c>
      <c r="D69" s="269">
        <v>300</v>
      </c>
      <c r="E69" s="757">
        <v>2863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165</v>
      </c>
      <c r="E70" s="757">
        <v>1197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86</v>
      </c>
      <c r="E71" s="757">
        <v>340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49</v>
      </c>
      <c r="E72" s="757">
        <v>160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42</v>
      </c>
      <c r="E73" s="757">
        <v>160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242</v>
      </c>
      <c r="E74" s="757">
        <v>2024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144</v>
      </c>
      <c r="E75" s="757">
        <v>1270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55</v>
      </c>
      <c r="E76" s="757">
        <v>224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82</v>
      </c>
      <c r="E77" s="757">
        <v>300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35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60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55.48</v>
      </c>
      <c r="E80" s="757">
        <v>16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1717</v>
      </c>
      <c r="D81" s="328">
        <v>71</v>
      </c>
      <c r="E81" s="763">
        <v>234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1717</v>
      </c>
      <c r="D82" s="269">
        <v>1493</v>
      </c>
      <c r="E82" s="757">
        <v>16800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 t="s">
        <v>1717</v>
      </c>
      <c r="D83" s="269">
        <v>93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1699</v>
      </c>
      <c r="D84" s="269">
        <v>93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1717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1717</v>
      </c>
      <c r="D86" s="269">
        <v>70</v>
      </c>
      <c r="E86" s="757">
        <v>324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1717</v>
      </c>
      <c r="D87" s="269">
        <v>281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 t="s">
        <v>1717</v>
      </c>
      <c r="D88" s="269">
        <v>230</v>
      </c>
      <c r="E88" s="757">
        <v>1560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1717</v>
      </c>
      <c r="D89" s="674">
        <v>273</v>
      </c>
      <c r="E89" s="771">
        <v>0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 t="s">
        <v>1717</v>
      </c>
      <c r="D90" s="269">
        <v>186</v>
      </c>
      <c r="E90" s="757">
        <v>954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 t="s">
        <v>1717</v>
      </c>
      <c r="D91" s="269">
        <v>62</v>
      </c>
      <c r="E91" s="757">
        <v>83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1717</v>
      </c>
      <c r="D92" s="269">
        <v>99</v>
      </c>
      <c r="E92" s="757">
        <v>498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1717</v>
      </c>
      <c r="D93" s="269">
        <v>92</v>
      </c>
      <c r="E93" s="757">
        <v>617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1717</v>
      </c>
      <c r="D94" s="269">
        <v>2051</v>
      </c>
      <c r="E94" s="757">
        <v>24000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1717</v>
      </c>
      <c r="D95" s="269">
        <v>229</v>
      </c>
      <c r="E95" s="757">
        <v>1882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1717</v>
      </c>
      <c r="D97" s="269"/>
      <c r="E97" s="757"/>
      <c r="F97" s="544"/>
      <c r="G97" s="757"/>
      <c r="H97" s="269">
        <v>114.47</v>
      </c>
      <c r="I97" s="757">
        <v>150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1717</v>
      </c>
      <c r="D98" s="269"/>
      <c r="E98" s="757"/>
      <c r="F98" s="544"/>
      <c r="G98" s="757"/>
      <c r="H98" s="269">
        <v>276.23</v>
      </c>
      <c r="I98" s="757">
        <v>387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/>
      <c r="D99" s="269"/>
      <c r="E99" s="757"/>
      <c r="F99" s="544"/>
      <c r="G99" s="757"/>
      <c r="H99" s="269">
        <v>39.299999999999997</v>
      </c>
      <c r="I99" s="757">
        <v>16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/>
      <c r="D100" s="269"/>
      <c r="E100" s="757"/>
      <c r="F100" s="544"/>
      <c r="G100" s="757"/>
      <c r="H100" s="269">
        <v>243</v>
      </c>
      <c r="I100" s="757">
        <v>340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/>
      <c r="D101" s="269"/>
      <c r="E101" s="757"/>
      <c r="F101" s="544"/>
      <c r="G101" s="757"/>
      <c r="H101" s="269">
        <v>41.97</v>
      </c>
      <c r="I101" s="757">
        <v>25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/>
      <c r="D102" s="269"/>
      <c r="E102" s="757"/>
      <c r="F102" s="544"/>
      <c r="G102" s="757"/>
      <c r="H102" s="269">
        <v>39.299999999999997</v>
      </c>
      <c r="I102" s="757">
        <v>11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1721</v>
      </c>
      <c r="D103" s="269"/>
      <c r="E103" s="757"/>
      <c r="F103" s="544"/>
      <c r="G103" s="757"/>
      <c r="H103" s="269">
        <v>39.299999999999997</v>
      </c>
      <c r="I103" s="757">
        <v>12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/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/>
      <c r="D106" s="269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/>
      <c r="D108" s="242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/>
      <c r="D112" s="269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/>
      <c r="D114" s="269"/>
      <c r="E114" s="757"/>
      <c r="F114" s="544"/>
      <c r="G114" s="757"/>
      <c r="H114" s="269">
        <v>49.45</v>
      </c>
      <c r="I114" s="757">
        <v>39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/>
      <c r="D116" s="269"/>
      <c r="E116" s="757"/>
      <c r="F116" s="544"/>
      <c r="G116" s="757"/>
      <c r="H116" s="269">
        <v>263.5</v>
      </c>
      <c r="I116" s="757">
        <v>369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/>
      <c r="D117" s="269"/>
      <c r="E117" s="757"/>
      <c r="F117" s="544"/>
      <c r="G117" s="757"/>
      <c r="H117" s="269">
        <v>149.52000000000001</v>
      </c>
      <c r="I117" s="757">
        <v>204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/>
      <c r="D119" s="269"/>
      <c r="E119" s="757"/>
      <c r="F119" s="544"/>
      <c r="G119" s="757"/>
      <c r="H119" s="269">
        <v>39.299999999999997</v>
      </c>
      <c r="I119" s="757">
        <v>8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/>
      <c r="D120" s="269"/>
      <c r="E120" s="757"/>
      <c r="F120" s="544"/>
      <c r="G120" s="757"/>
      <c r="H120" s="269">
        <v>39.299999999999997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/>
      <c r="D123" s="269"/>
      <c r="E123" s="757"/>
      <c r="F123" s="544"/>
      <c r="G123" s="757"/>
      <c r="H123" s="269">
        <v>84.62</v>
      </c>
      <c r="I123" s="757">
        <v>104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/>
      <c r="D126" s="269"/>
      <c r="E126" s="757"/>
      <c r="F126" s="544"/>
      <c r="G126" s="757"/>
      <c r="H126" s="269">
        <v>39.299999999999997</v>
      </c>
      <c r="I126" s="757">
        <v>16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/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1722</v>
      </c>
      <c r="D128" s="269"/>
      <c r="E128" s="757"/>
      <c r="F128" s="544"/>
      <c r="G128" s="757"/>
      <c r="H128" s="269">
        <v>39.299999999999997</v>
      </c>
      <c r="I128" s="757">
        <v>10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1704</v>
      </c>
      <c r="D129" s="269"/>
      <c r="E129" s="757"/>
      <c r="F129" s="544"/>
      <c r="G129" s="757"/>
      <c r="H129" s="269">
        <v>136.54</v>
      </c>
      <c r="I129" s="757">
        <v>184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1722</v>
      </c>
      <c r="D130" s="269"/>
      <c r="E130" s="757"/>
      <c r="F130" s="544"/>
      <c r="G130" s="757"/>
      <c r="H130" s="269">
        <v>678.63</v>
      </c>
      <c r="I130" s="757">
        <v>914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1722</v>
      </c>
      <c r="D131" s="269"/>
      <c r="E131" s="757"/>
      <c r="F131" s="544"/>
      <c r="G131" s="757"/>
      <c r="H131" s="269">
        <v>39.299999999999997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1722</v>
      </c>
      <c r="D132" s="269"/>
      <c r="E132" s="757"/>
      <c r="F132" s="544"/>
      <c r="G132" s="757"/>
      <c r="H132" s="269">
        <v>2868.83</v>
      </c>
      <c r="I132" s="757">
        <v>3777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1722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1722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1722</v>
      </c>
      <c r="D135" s="269"/>
      <c r="E135" s="757"/>
      <c r="F135" s="544"/>
      <c r="G135" s="757"/>
      <c r="H135" s="269">
        <v>39.299999999999997</v>
      </c>
      <c r="I135" s="757">
        <v>18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1722</v>
      </c>
      <c r="D136" s="269"/>
      <c r="E136" s="757"/>
      <c r="F136" s="544"/>
      <c r="G136" s="757"/>
      <c r="H136" s="269">
        <v>495.03</v>
      </c>
      <c r="I136" s="757">
        <v>674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1722</v>
      </c>
      <c r="D137" s="269"/>
      <c r="E137" s="757"/>
      <c r="F137" s="544"/>
      <c r="G137" s="757"/>
      <c r="H137" s="269">
        <v>381.05</v>
      </c>
      <c r="I137" s="757">
        <v>525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1722</v>
      </c>
      <c r="D138" s="269"/>
      <c r="E138" s="757"/>
      <c r="F138" s="544"/>
      <c r="G138" s="757"/>
      <c r="H138" s="269">
        <v>369.57</v>
      </c>
      <c r="I138" s="757">
        <v>510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1717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1717</v>
      </c>
      <c r="D141" s="269"/>
      <c r="E141" s="757"/>
      <c r="F141" s="544"/>
      <c r="G141" s="757"/>
      <c r="H141" s="269">
        <v>70</v>
      </c>
      <c r="I141" s="757">
        <v>500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1716</v>
      </c>
      <c r="D145" s="269"/>
      <c r="E145" s="757"/>
      <c r="F145" s="544"/>
      <c r="G145" s="757"/>
      <c r="H145" s="269">
        <v>35</v>
      </c>
      <c r="I145" s="757">
        <v>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20" sqref="I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1720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04"/>
      <c r="B4" s="905"/>
      <c r="C4" s="905"/>
      <c r="D4" s="905"/>
      <c r="E4" s="905"/>
      <c r="F4" s="905"/>
      <c r="G4" s="90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204352.7</v>
      </c>
      <c r="D13" s="34"/>
      <c r="E13" s="35" t="s">
        <v>33</v>
      </c>
      <c r="F13" s="34"/>
      <c r="G13" s="42">
        <v>18996.810000000001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3235</v>
      </c>
      <c r="D15" s="34"/>
      <c r="E15" s="35" t="s">
        <v>10</v>
      </c>
      <c r="F15" s="34"/>
      <c r="G15" s="42">
        <v>3896.22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8450.6</v>
      </c>
      <c r="D17" s="34"/>
      <c r="E17" s="35" t="s">
        <v>278</v>
      </c>
      <c r="F17" s="34"/>
      <c r="G17" s="42">
        <v>7677.41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5"/>
  <sheetViews>
    <sheetView zoomScale="115" zoomScaleNormal="115" workbookViewId="0">
      <pane ySplit="2" topLeftCell="A102" activePane="bottomLeft" state="frozen"/>
      <selection pane="bottomLeft" activeCell="A155" sqref="A155"/>
    </sheetView>
  </sheetViews>
  <sheetFormatPr defaultRowHeight="15" x14ac:dyDescent="0.25"/>
  <cols>
    <col min="1" max="1" width="40.5703125" style="692" customWidth="1"/>
    <col min="2" max="2" width="14.14062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1695</v>
      </c>
      <c r="D3" s="328"/>
      <c r="E3" s="763"/>
      <c r="F3" s="620">
        <v>1863.72</v>
      </c>
      <c r="G3" s="763">
        <v>1914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1696</v>
      </c>
      <c r="D4" s="269"/>
      <c r="E4" s="757"/>
      <c r="F4" s="544">
        <v>272.81</v>
      </c>
      <c r="G4" s="757">
        <v>103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1706</v>
      </c>
      <c r="D5" s="328"/>
      <c r="E5" s="763"/>
      <c r="F5" s="620">
        <v>236.26</v>
      </c>
      <c r="G5" s="763">
        <v>19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1697</v>
      </c>
      <c r="D6" s="269"/>
      <c r="E6" s="757"/>
      <c r="F6" s="544">
        <v>163.43</v>
      </c>
      <c r="G6" s="757">
        <v>266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1695</v>
      </c>
      <c r="D7" s="269"/>
      <c r="E7" s="757"/>
      <c r="F7" s="544">
        <v>49.16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1695</v>
      </c>
      <c r="D8" s="269"/>
      <c r="E8" s="757"/>
      <c r="F8" s="544">
        <v>41.61</v>
      </c>
      <c r="G8" s="757">
        <v>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1696</v>
      </c>
      <c r="D9" s="269"/>
      <c r="E9" s="757"/>
      <c r="F9" s="544">
        <v>61.41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1697</v>
      </c>
      <c r="D10" s="269"/>
      <c r="E10" s="757"/>
      <c r="F10" s="544">
        <v>220.69</v>
      </c>
      <c r="G10" s="757">
        <v>38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1679</v>
      </c>
      <c r="D11" s="269"/>
      <c r="E11" s="757"/>
      <c r="F11" s="544">
        <v>296.79000000000002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1695</v>
      </c>
      <c r="D12" s="269"/>
      <c r="E12" s="757"/>
      <c r="F12" s="544">
        <v>49.58</v>
      </c>
      <c r="G12" s="757">
        <v>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1696</v>
      </c>
      <c r="D13" s="269"/>
      <c r="E13" s="757"/>
      <c r="F13" s="544">
        <v>47.27</v>
      </c>
      <c r="G13" s="757">
        <v>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1696</v>
      </c>
      <c r="D14" s="269"/>
      <c r="E14" s="757"/>
      <c r="F14" s="544">
        <v>330.18</v>
      </c>
      <c r="G14" s="757">
        <v>655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1706</v>
      </c>
      <c r="D15" s="269"/>
      <c r="E15" s="757"/>
      <c r="F15" s="544">
        <v>116.22</v>
      </c>
      <c r="G15" s="757">
        <v>12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1702</v>
      </c>
      <c r="D16" s="269"/>
      <c r="E16" s="757"/>
      <c r="F16" s="544">
        <v>80.28</v>
      </c>
      <c r="G16" s="757">
        <v>72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1701</v>
      </c>
      <c r="D17" s="269"/>
      <c r="E17" s="757"/>
      <c r="F17" s="544">
        <v>16.62</v>
      </c>
      <c r="G17" s="757">
        <v>39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1701</v>
      </c>
      <c r="D18" s="269"/>
      <c r="E18" s="757"/>
      <c r="F18" s="544">
        <v>39.020000000000003</v>
      </c>
      <c r="G18" s="757">
        <v>35</v>
      </c>
      <c r="H18" s="269"/>
      <c r="I18" s="757"/>
      <c r="J18" s="245" t="s">
        <v>10</v>
      </c>
      <c r="K18" s="245"/>
      <c r="L18" s="245"/>
    </row>
    <row r="19" spans="1:12" s="199" customFormat="1" x14ac:dyDescent="0.25">
      <c r="A19" s="902" t="s">
        <v>1707</v>
      </c>
      <c r="B19" s="690"/>
      <c r="C19" s="303"/>
      <c r="D19" s="250"/>
      <c r="E19" s="750"/>
      <c r="F19" s="543"/>
      <c r="G19" s="750"/>
      <c r="H19" s="250"/>
      <c r="I19" s="750"/>
      <c r="J19" s="249"/>
      <c r="K19" s="249"/>
      <c r="L19" s="249"/>
    </row>
    <row r="20" spans="1:12" s="184" customFormat="1" x14ac:dyDescent="0.25">
      <c r="A20" s="695" t="s">
        <v>1687</v>
      </c>
      <c r="B20" s="681">
        <v>5216007172</v>
      </c>
      <c r="C20" s="289" t="s">
        <v>1708</v>
      </c>
      <c r="D20" s="269"/>
      <c r="E20" s="757"/>
      <c r="F20" s="544">
        <v>11.17</v>
      </c>
      <c r="G20" s="757">
        <v>43</v>
      </c>
      <c r="H20" s="269"/>
      <c r="I20" s="757"/>
      <c r="J20" s="245"/>
      <c r="K20" s="245"/>
      <c r="L20" s="245"/>
    </row>
    <row r="21" spans="1:12" s="584" customFormat="1" ht="29.25" customHeight="1" x14ac:dyDescent="0.3">
      <c r="A21" s="862" t="s">
        <v>1548</v>
      </c>
      <c r="B21" s="858" t="s">
        <v>1549</v>
      </c>
      <c r="C21" s="858"/>
      <c r="D21" s="859"/>
      <c r="E21" s="861"/>
      <c r="F21" s="860"/>
      <c r="G21" s="861"/>
      <c r="H21" s="859"/>
      <c r="I21" s="861"/>
      <c r="J21" s="858"/>
      <c r="K21" s="858"/>
      <c r="L21" s="858"/>
    </row>
    <row r="22" spans="1:12" s="619" customFormat="1" ht="14.25" customHeight="1" x14ac:dyDescent="0.25">
      <c r="A22" s="546" t="s">
        <v>870</v>
      </c>
      <c r="B22" s="546" t="s">
        <v>1550</v>
      </c>
      <c r="C22" s="546" t="s">
        <v>1694</v>
      </c>
      <c r="D22" s="618">
        <v>235.78</v>
      </c>
      <c r="E22" s="547">
        <v>13</v>
      </c>
      <c r="F22" s="548"/>
      <c r="G22" s="547"/>
      <c r="H22" s="618"/>
      <c r="I22" s="547"/>
      <c r="J22" s="546"/>
      <c r="K22" s="546" t="s">
        <v>1554</v>
      </c>
      <c r="L22" s="546"/>
    </row>
    <row r="23" spans="1:12" s="619" customFormat="1" ht="14.25" customHeight="1" x14ac:dyDescent="0.25">
      <c r="A23" s="546" t="s">
        <v>864</v>
      </c>
      <c r="B23" s="546" t="s">
        <v>1557</v>
      </c>
      <c r="C23" s="767" t="s">
        <v>1694</v>
      </c>
      <c r="D23" s="618">
        <v>8.1300000000000008</v>
      </c>
      <c r="E23" s="547">
        <v>0</v>
      </c>
      <c r="F23" s="548"/>
      <c r="G23" s="547"/>
      <c r="H23" s="618"/>
      <c r="I23" s="547"/>
      <c r="J23" s="546"/>
      <c r="K23" s="546" t="s">
        <v>821</v>
      </c>
      <c r="L23" s="546"/>
    </row>
    <row r="24" spans="1:12" s="619" customFormat="1" ht="14.25" customHeight="1" x14ac:dyDescent="0.25">
      <c r="A24" s="546" t="s">
        <v>1552</v>
      </c>
      <c r="B24" s="546" t="s">
        <v>1553</v>
      </c>
      <c r="C24" s="546" t="s">
        <v>1694</v>
      </c>
      <c r="D24" s="618">
        <v>16.29</v>
      </c>
      <c r="E24" s="547">
        <v>121</v>
      </c>
      <c r="F24" s="548"/>
      <c r="G24" s="547"/>
      <c r="H24" s="618"/>
      <c r="I24" s="547"/>
      <c r="J24" s="546"/>
      <c r="K24" s="546" t="s">
        <v>794</v>
      </c>
      <c r="L24" s="546"/>
    </row>
    <row r="25" spans="1:12" s="619" customFormat="1" ht="14.25" customHeight="1" x14ac:dyDescent="0.25">
      <c r="A25" s="546" t="s">
        <v>852</v>
      </c>
      <c r="B25" s="546" t="s">
        <v>1558</v>
      </c>
      <c r="C25" s="546" t="s">
        <v>1694</v>
      </c>
      <c r="D25" s="618">
        <v>17.27</v>
      </c>
      <c r="E25" s="547">
        <v>150</v>
      </c>
      <c r="F25" s="548"/>
      <c r="G25" s="547"/>
      <c r="H25" s="618"/>
      <c r="I25" s="547"/>
      <c r="J25" s="546"/>
      <c r="K25" s="546" t="s">
        <v>808</v>
      </c>
      <c r="L25" s="546"/>
    </row>
    <row r="26" spans="1:12" s="619" customFormat="1" ht="14.25" customHeight="1" x14ac:dyDescent="0.25">
      <c r="A26" s="546" t="s">
        <v>1555</v>
      </c>
      <c r="B26" s="546" t="s">
        <v>1556</v>
      </c>
      <c r="C26" s="546" t="s">
        <v>1694</v>
      </c>
      <c r="D26" s="618">
        <v>85.04</v>
      </c>
      <c r="E26" s="547">
        <v>1117</v>
      </c>
      <c r="F26" s="548"/>
      <c r="G26" s="547"/>
      <c r="H26" s="618"/>
      <c r="I26" s="547"/>
      <c r="J26" s="546"/>
      <c r="K26" s="546" t="s">
        <v>811</v>
      </c>
      <c r="L26" s="546"/>
    </row>
    <row r="27" spans="1:12" s="619" customFormat="1" ht="14.25" customHeight="1" x14ac:dyDescent="0.25">
      <c r="A27" s="546" t="s">
        <v>1561</v>
      </c>
      <c r="B27" s="546" t="s">
        <v>1559</v>
      </c>
      <c r="C27" s="546" t="s">
        <v>1694</v>
      </c>
      <c r="D27" s="618">
        <v>503.29</v>
      </c>
      <c r="E27" s="547">
        <v>3360</v>
      </c>
      <c r="F27" s="548"/>
      <c r="G27" s="547"/>
      <c r="H27" s="618"/>
      <c r="I27" s="547"/>
      <c r="J27" s="546"/>
      <c r="K27" s="546" t="s">
        <v>1560</v>
      </c>
      <c r="L27" s="546"/>
    </row>
    <row r="28" spans="1:12" s="619" customFormat="1" ht="14.25" customHeight="1" x14ac:dyDescent="0.25">
      <c r="A28" s="546" t="s">
        <v>858</v>
      </c>
      <c r="B28" s="546" t="s">
        <v>1562</v>
      </c>
      <c r="C28" s="546" t="s">
        <v>1694</v>
      </c>
      <c r="D28" s="618">
        <v>13.64</v>
      </c>
      <c r="E28" s="547">
        <v>80</v>
      </c>
      <c r="F28" s="548"/>
      <c r="G28" s="547"/>
      <c r="H28" s="618"/>
      <c r="I28" s="547"/>
      <c r="J28" s="546"/>
      <c r="K28" s="546" t="s">
        <v>791</v>
      </c>
      <c r="L28" s="546"/>
    </row>
    <row r="29" spans="1:12" s="619" customFormat="1" ht="14.25" customHeight="1" x14ac:dyDescent="0.25">
      <c r="A29" s="546" t="s">
        <v>840</v>
      </c>
      <c r="B29" s="546" t="s">
        <v>1563</v>
      </c>
      <c r="C29" s="767" t="s">
        <v>1694</v>
      </c>
      <c r="D29" s="618">
        <v>73.56</v>
      </c>
      <c r="E29" s="547">
        <v>950</v>
      </c>
      <c r="F29" s="548"/>
      <c r="G29" s="547"/>
      <c r="H29" s="618"/>
      <c r="I29" s="547"/>
      <c r="J29" s="546"/>
      <c r="K29" s="546" t="s">
        <v>810</v>
      </c>
      <c r="L29" s="546"/>
    </row>
    <row r="30" spans="1:12" s="619" customFormat="1" ht="14.25" customHeight="1" x14ac:dyDescent="0.25">
      <c r="A30" s="546" t="s">
        <v>1167</v>
      </c>
      <c r="B30" s="546" t="s">
        <v>1564</v>
      </c>
      <c r="C30" s="546" t="s">
        <v>1694</v>
      </c>
      <c r="D30" s="618">
        <v>17.62</v>
      </c>
      <c r="E30" s="547">
        <v>150</v>
      </c>
      <c r="F30" s="548"/>
      <c r="G30" s="547"/>
      <c r="H30" s="618"/>
      <c r="I30" s="547"/>
      <c r="J30" s="546"/>
      <c r="K30" s="546" t="s">
        <v>792</v>
      </c>
      <c r="L30" s="546"/>
    </row>
    <row r="31" spans="1:12" s="619" customFormat="1" ht="14.25" customHeight="1" x14ac:dyDescent="0.25">
      <c r="A31" s="546" t="s">
        <v>1565</v>
      </c>
      <c r="B31" s="546" t="s">
        <v>1566</v>
      </c>
      <c r="C31" s="546" t="s">
        <v>1694</v>
      </c>
      <c r="D31" s="618">
        <v>16.82</v>
      </c>
      <c r="E31" s="547">
        <v>124</v>
      </c>
      <c r="F31" s="548"/>
      <c r="G31" s="547"/>
      <c r="H31" s="618"/>
      <c r="I31" s="547"/>
      <c r="J31" s="546"/>
      <c r="K31" s="546" t="s">
        <v>820</v>
      </c>
      <c r="L31" s="546"/>
    </row>
    <row r="32" spans="1:12" s="619" customFormat="1" ht="14.25" customHeight="1" x14ac:dyDescent="0.25">
      <c r="A32" s="546" t="s">
        <v>1567</v>
      </c>
      <c r="B32" s="546" t="s">
        <v>1568</v>
      </c>
      <c r="C32" s="546" t="s">
        <v>1694</v>
      </c>
      <c r="D32" s="618">
        <v>193.38</v>
      </c>
      <c r="E32" s="547">
        <v>1650</v>
      </c>
      <c r="F32" s="548"/>
      <c r="G32" s="547"/>
      <c r="H32" s="618"/>
      <c r="I32" s="547"/>
      <c r="J32" s="546"/>
      <c r="K32" s="546" t="s">
        <v>819</v>
      </c>
      <c r="L32" s="546"/>
    </row>
    <row r="33" spans="1:12" s="619" customFormat="1" ht="14.25" customHeight="1" x14ac:dyDescent="0.25">
      <c r="A33" s="546" t="s">
        <v>1569</v>
      </c>
      <c r="B33" s="546" t="s">
        <v>1570</v>
      </c>
      <c r="C33" s="546" t="s">
        <v>1694</v>
      </c>
      <c r="D33" s="618">
        <v>17.62</v>
      </c>
      <c r="E33" s="547">
        <v>150</v>
      </c>
      <c r="F33" s="548"/>
      <c r="G33" s="547"/>
      <c r="H33" s="618"/>
      <c r="I33" s="547"/>
      <c r="J33" s="546"/>
      <c r="K33" s="546" t="s">
        <v>818</v>
      </c>
      <c r="L33" s="546"/>
    </row>
    <row r="34" spans="1:12" s="619" customFormat="1" ht="14.25" customHeight="1" x14ac:dyDescent="0.25">
      <c r="A34" s="546" t="s">
        <v>1571</v>
      </c>
      <c r="B34" s="546" t="s">
        <v>1572</v>
      </c>
      <c r="C34" s="546" t="s">
        <v>1694</v>
      </c>
      <c r="D34" s="618">
        <v>22.21</v>
      </c>
      <c r="E34" s="547">
        <v>160</v>
      </c>
      <c r="F34" s="548"/>
      <c r="G34" s="547"/>
      <c r="H34" s="618"/>
      <c r="I34" s="547"/>
      <c r="J34" s="546"/>
      <c r="K34" s="546" t="s">
        <v>797</v>
      </c>
      <c r="L34" s="546"/>
    </row>
    <row r="35" spans="1:12" s="619" customFormat="1" ht="14.25" customHeight="1" x14ac:dyDescent="0.25">
      <c r="A35" s="546" t="s">
        <v>1573</v>
      </c>
      <c r="B35" s="546" t="s">
        <v>1574</v>
      </c>
      <c r="C35" s="546" t="s">
        <v>1694</v>
      </c>
      <c r="D35" s="618">
        <v>235.81</v>
      </c>
      <c r="E35" s="547">
        <v>1368</v>
      </c>
      <c r="F35" s="548"/>
      <c r="G35" s="547"/>
      <c r="H35" s="618"/>
      <c r="I35" s="547"/>
      <c r="J35" s="546"/>
      <c r="K35" s="546" t="s">
        <v>809</v>
      </c>
      <c r="L35" s="546"/>
    </row>
    <row r="36" spans="1:12" s="619" customFormat="1" ht="14.25" customHeight="1" x14ac:dyDescent="0.25">
      <c r="A36" s="546" t="s">
        <v>1575</v>
      </c>
      <c r="B36" s="546" t="s">
        <v>1576</v>
      </c>
      <c r="C36" s="546" t="s">
        <v>1694</v>
      </c>
      <c r="D36" s="618">
        <v>10.92</v>
      </c>
      <c r="E36" s="547">
        <v>70</v>
      </c>
      <c r="F36" s="548"/>
      <c r="G36" s="547"/>
      <c r="H36" s="618"/>
      <c r="I36" s="547"/>
      <c r="J36" s="546"/>
      <c r="K36" s="546" t="s">
        <v>822</v>
      </c>
      <c r="L36" s="546"/>
    </row>
    <row r="37" spans="1:12" s="619" customFormat="1" ht="14.25" customHeight="1" x14ac:dyDescent="0.25">
      <c r="A37" s="546" t="s">
        <v>828</v>
      </c>
      <c r="B37" s="546" t="s">
        <v>1577</v>
      </c>
      <c r="C37" s="546" t="s">
        <v>1694</v>
      </c>
      <c r="D37" s="618">
        <v>102.84</v>
      </c>
      <c r="E37" s="547">
        <v>1376</v>
      </c>
      <c r="F37" s="548"/>
      <c r="G37" s="547"/>
      <c r="H37" s="618"/>
      <c r="I37" s="547"/>
      <c r="J37" s="546"/>
      <c r="K37" s="546" t="s">
        <v>780</v>
      </c>
      <c r="L37" s="546"/>
    </row>
    <row r="38" spans="1:12" s="619" customFormat="1" ht="14.25" customHeight="1" x14ac:dyDescent="0.25">
      <c r="A38" s="546" t="s">
        <v>1578</v>
      </c>
      <c r="B38" s="546" t="s">
        <v>1579</v>
      </c>
      <c r="C38" s="546" t="s">
        <v>1694</v>
      </c>
      <c r="D38" s="618">
        <v>17.16</v>
      </c>
      <c r="E38" s="547">
        <v>129</v>
      </c>
      <c r="F38" s="548"/>
      <c r="G38" s="547"/>
      <c r="H38" s="618"/>
      <c r="I38" s="547"/>
      <c r="J38" s="546"/>
      <c r="K38" s="546" t="s">
        <v>826</v>
      </c>
      <c r="L38" s="546"/>
    </row>
    <row r="39" spans="1:12" s="619" customFormat="1" ht="14.25" customHeight="1" x14ac:dyDescent="0.25">
      <c r="A39" s="546" t="s">
        <v>1580</v>
      </c>
      <c r="B39" s="546" t="s">
        <v>1581</v>
      </c>
      <c r="C39" s="546" t="s">
        <v>1694</v>
      </c>
      <c r="D39" s="618">
        <v>4017.23</v>
      </c>
      <c r="E39" s="547">
        <v>70700</v>
      </c>
      <c r="F39" s="548"/>
      <c r="G39" s="547"/>
      <c r="H39" s="618"/>
      <c r="I39" s="547"/>
      <c r="J39" s="546"/>
      <c r="K39" s="546" t="s">
        <v>783</v>
      </c>
      <c r="L39" s="546"/>
    </row>
    <row r="40" spans="1:12" s="619" customFormat="1" ht="14.25" customHeight="1" x14ac:dyDescent="0.25">
      <c r="A40" s="546" t="s">
        <v>1582</v>
      </c>
      <c r="B40" s="546" t="s">
        <v>1583</v>
      </c>
      <c r="C40" s="546" t="s">
        <v>1694</v>
      </c>
      <c r="D40" s="618">
        <v>28.02</v>
      </c>
      <c r="E40" s="547">
        <v>287</v>
      </c>
      <c r="F40" s="548"/>
      <c r="G40" s="547"/>
      <c r="H40" s="618"/>
      <c r="I40" s="547"/>
      <c r="J40" s="546"/>
      <c r="K40" s="546" t="s">
        <v>825</v>
      </c>
      <c r="L40" s="546"/>
    </row>
    <row r="41" spans="1:12" s="619" customFormat="1" ht="14.25" customHeight="1" x14ac:dyDescent="0.25">
      <c r="A41" s="546" t="s">
        <v>1584</v>
      </c>
      <c r="B41" s="546" t="s">
        <v>1585</v>
      </c>
      <c r="C41" s="546" t="s">
        <v>1694</v>
      </c>
      <c r="D41" s="618">
        <v>55.79</v>
      </c>
      <c r="E41" s="547">
        <v>300</v>
      </c>
      <c r="F41" s="548"/>
      <c r="G41" s="547"/>
      <c r="H41" s="618"/>
      <c r="I41" s="547"/>
      <c r="J41" s="546"/>
      <c r="K41" s="546" t="s">
        <v>785</v>
      </c>
      <c r="L41" s="546"/>
    </row>
    <row r="42" spans="1:12" s="619" customFormat="1" ht="14.25" customHeight="1" x14ac:dyDescent="0.25">
      <c r="A42" s="546" t="s">
        <v>935</v>
      </c>
      <c r="B42" s="546" t="s">
        <v>1586</v>
      </c>
      <c r="C42" s="546" t="s">
        <v>1694</v>
      </c>
      <c r="D42" s="618">
        <v>20.170000000000002</v>
      </c>
      <c r="E42" s="547">
        <v>140</v>
      </c>
      <c r="F42" s="548"/>
      <c r="G42" s="547"/>
      <c r="H42" s="618"/>
      <c r="I42" s="547"/>
      <c r="J42" s="546"/>
      <c r="K42" s="546" t="s">
        <v>823</v>
      </c>
      <c r="L42" s="546"/>
    </row>
    <row r="43" spans="1:12" s="619" customFormat="1" ht="14.25" customHeight="1" x14ac:dyDescent="0.25">
      <c r="A43" s="546" t="s">
        <v>1587</v>
      </c>
      <c r="B43" s="546" t="s">
        <v>1588</v>
      </c>
      <c r="C43" s="546" t="s">
        <v>1694</v>
      </c>
      <c r="D43" s="618">
        <v>17.62</v>
      </c>
      <c r="E43" s="547">
        <v>150</v>
      </c>
      <c r="F43" s="548"/>
      <c r="G43" s="547"/>
      <c r="H43" s="618"/>
      <c r="I43" s="547"/>
      <c r="J43" s="546"/>
      <c r="K43" s="546" t="s">
        <v>812</v>
      </c>
      <c r="L43" s="546"/>
    </row>
    <row r="44" spans="1:12" s="619" customFormat="1" ht="14.25" customHeight="1" x14ac:dyDescent="0.25">
      <c r="A44" s="546" t="s">
        <v>1589</v>
      </c>
      <c r="B44" s="546" t="s">
        <v>1590</v>
      </c>
      <c r="C44" s="546" t="s">
        <v>1694</v>
      </c>
      <c r="D44" s="618">
        <v>13.64</v>
      </c>
      <c r="E44" s="547">
        <v>80</v>
      </c>
      <c r="F44" s="548"/>
      <c r="G44" s="547"/>
      <c r="H44" s="618"/>
      <c r="I44" s="547"/>
      <c r="J44" s="546"/>
      <c r="K44" s="546" t="s">
        <v>802</v>
      </c>
      <c r="L44" s="546"/>
    </row>
    <row r="45" spans="1:12" s="619" customFormat="1" ht="14.25" customHeight="1" x14ac:dyDescent="0.25">
      <c r="A45" s="546" t="s">
        <v>1591</v>
      </c>
      <c r="B45" s="546" t="s">
        <v>1592</v>
      </c>
      <c r="C45" s="546" t="s">
        <v>1694</v>
      </c>
      <c r="D45" s="618">
        <v>952.52</v>
      </c>
      <c r="E45" s="547">
        <v>12000</v>
      </c>
      <c r="F45" s="548"/>
      <c r="G45" s="547"/>
      <c r="H45" s="618"/>
      <c r="I45" s="547"/>
      <c r="J45" s="546"/>
      <c r="K45" s="546" t="s">
        <v>1593</v>
      </c>
      <c r="L45" s="546"/>
    </row>
    <row r="46" spans="1:12" s="619" customFormat="1" ht="14.25" customHeight="1" x14ac:dyDescent="0.25">
      <c r="A46" s="546" t="s">
        <v>1594</v>
      </c>
      <c r="B46" s="546" t="s">
        <v>1595</v>
      </c>
      <c r="C46" s="546" t="s">
        <v>1694</v>
      </c>
      <c r="D46" s="618">
        <v>10.92</v>
      </c>
      <c r="E46" s="547">
        <v>70</v>
      </c>
      <c r="F46" s="548"/>
      <c r="G46" s="547"/>
      <c r="H46" s="618"/>
      <c r="I46" s="547"/>
      <c r="J46" s="546"/>
      <c r="K46" s="546" t="s">
        <v>801</v>
      </c>
      <c r="L46" s="546"/>
    </row>
    <row r="47" spans="1:12" s="619" customFormat="1" ht="14.25" customHeight="1" x14ac:dyDescent="0.25">
      <c r="A47" s="546" t="s">
        <v>1596</v>
      </c>
      <c r="B47" s="546" t="s">
        <v>1597</v>
      </c>
      <c r="C47" s="546" t="s">
        <v>1694</v>
      </c>
      <c r="D47" s="618">
        <v>79.95</v>
      </c>
      <c r="E47" s="547">
        <v>1043</v>
      </c>
      <c r="F47" s="548"/>
      <c r="G47" s="547"/>
      <c r="H47" s="618"/>
      <c r="I47" s="547"/>
      <c r="J47" s="546"/>
      <c r="K47" s="546" t="s">
        <v>894</v>
      </c>
      <c r="L47" s="546"/>
    </row>
    <row r="48" spans="1:12" s="619" customFormat="1" ht="14.25" customHeight="1" x14ac:dyDescent="0.25">
      <c r="A48" s="546" t="s">
        <v>1598</v>
      </c>
      <c r="B48" s="546" t="s">
        <v>1599</v>
      </c>
      <c r="C48" s="546" t="s">
        <v>1694</v>
      </c>
      <c r="D48" s="618">
        <v>107.35</v>
      </c>
      <c r="E48" s="547">
        <v>770</v>
      </c>
      <c r="F48" s="548"/>
      <c r="G48" s="547"/>
      <c r="H48" s="618"/>
      <c r="I48" s="547"/>
      <c r="J48" s="546"/>
      <c r="K48" s="546" t="s">
        <v>816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 t="s">
        <v>1694</v>
      </c>
      <c r="D49" s="618">
        <v>8.3000000000000007</v>
      </c>
      <c r="E49" s="547">
        <v>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 t="s">
        <v>1694</v>
      </c>
      <c r="D50" s="618">
        <v>283.2</v>
      </c>
      <c r="E50" s="547">
        <v>2266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 t="s">
        <v>1694</v>
      </c>
      <c r="D51" s="618">
        <v>8.3000000000000007</v>
      </c>
      <c r="E51" s="547">
        <v>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 t="s">
        <v>1694</v>
      </c>
      <c r="D52" s="618">
        <v>316.95</v>
      </c>
      <c r="E52" s="547">
        <v>3672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 t="s">
        <v>1694</v>
      </c>
      <c r="D53" s="618">
        <v>107.49</v>
      </c>
      <c r="E53" s="547">
        <v>1446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1694</v>
      </c>
      <c r="D54" s="618">
        <v>982.25</v>
      </c>
      <c r="E54" s="547">
        <v>12540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1694</v>
      </c>
      <c r="D55" s="618">
        <v>31.1</v>
      </c>
      <c r="E55" s="547">
        <v>341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1694</v>
      </c>
      <c r="D56" s="618">
        <v>40.96</v>
      </c>
      <c r="E56" s="547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1694</v>
      </c>
      <c r="D57" s="618">
        <v>1270.7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1694</v>
      </c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1619</v>
      </c>
      <c r="B59" s="546" t="s">
        <v>1620</v>
      </c>
      <c r="C59" s="546" t="s">
        <v>1694</v>
      </c>
      <c r="D59" s="618">
        <v>22.37</v>
      </c>
      <c r="E59" s="547">
        <v>80</v>
      </c>
      <c r="F59" s="548"/>
      <c r="G59" s="547"/>
      <c r="H59" s="618"/>
      <c r="I59" s="547"/>
      <c r="J59" s="546"/>
      <c r="K59" s="546" t="s">
        <v>806</v>
      </c>
      <c r="L59" s="546"/>
    </row>
    <row r="60" spans="1:12" s="619" customFormat="1" ht="14.25" customHeight="1" x14ac:dyDescent="0.25">
      <c r="A60" s="546" t="s">
        <v>1621</v>
      </c>
      <c r="B60" s="546" t="s">
        <v>1622</v>
      </c>
      <c r="C60" s="546" t="s">
        <v>1694</v>
      </c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778</v>
      </c>
      <c r="L60" s="546"/>
    </row>
    <row r="61" spans="1:12" s="619" customFormat="1" ht="14.25" customHeight="1" x14ac:dyDescent="0.25">
      <c r="A61" s="546" t="s">
        <v>1621</v>
      </c>
      <c r="B61" s="546" t="s">
        <v>1623</v>
      </c>
      <c r="C61" s="546" t="s">
        <v>1694</v>
      </c>
      <c r="D61" s="618">
        <v>837.37</v>
      </c>
      <c r="E61" s="547">
        <v>4800</v>
      </c>
      <c r="F61" s="548"/>
      <c r="G61" s="547"/>
      <c r="H61" s="618"/>
      <c r="I61" s="547"/>
      <c r="J61" s="546"/>
      <c r="K61" s="546" t="s">
        <v>1624</v>
      </c>
      <c r="L61" s="546"/>
    </row>
    <row r="62" spans="1:12" s="619" customFormat="1" ht="14.25" customHeight="1" x14ac:dyDescent="0.25">
      <c r="A62" s="546" t="s">
        <v>869</v>
      </c>
      <c r="B62" s="546" t="s">
        <v>1625</v>
      </c>
      <c r="C62" s="546" t="s">
        <v>1694</v>
      </c>
      <c r="D62" s="618">
        <v>177.01</v>
      </c>
      <c r="E62" s="547">
        <v>600</v>
      </c>
      <c r="F62" s="548"/>
      <c r="G62" s="547"/>
      <c r="H62" s="618"/>
      <c r="I62" s="547"/>
      <c r="J62" s="546"/>
      <c r="K62" s="546" t="s">
        <v>803</v>
      </c>
      <c r="L62" s="546"/>
    </row>
    <row r="63" spans="1:12" s="619" customFormat="1" ht="14.25" customHeight="1" x14ac:dyDescent="0.25">
      <c r="A63" s="546" t="s">
        <v>849</v>
      </c>
      <c r="B63" s="546" t="s">
        <v>1626</v>
      </c>
      <c r="C63" s="546" t="s">
        <v>1694</v>
      </c>
      <c r="D63" s="618">
        <v>576.75</v>
      </c>
      <c r="E63" s="547">
        <v>8742</v>
      </c>
      <c r="F63" s="548"/>
      <c r="G63" s="547"/>
      <c r="H63" s="618"/>
      <c r="I63" s="547"/>
      <c r="J63" s="546"/>
      <c r="K63" s="546" t="s">
        <v>788</v>
      </c>
      <c r="L63" s="546"/>
    </row>
    <row r="64" spans="1:12" s="619" customFormat="1" ht="14.25" customHeight="1" x14ac:dyDescent="0.25">
      <c r="A64" s="546" t="s">
        <v>1627</v>
      </c>
      <c r="B64" s="546" t="s">
        <v>1628</v>
      </c>
      <c r="C64" s="546" t="s">
        <v>1694</v>
      </c>
      <c r="D64" s="618">
        <v>282.45999999999998</v>
      </c>
      <c r="E64" s="547">
        <v>880</v>
      </c>
      <c r="F64" s="548"/>
      <c r="G64" s="547"/>
      <c r="H64" s="618"/>
      <c r="I64" s="547"/>
      <c r="J64" s="546"/>
      <c r="K64" s="546" t="s">
        <v>786</v>
      </c>
      <c r="L64" s="546"/>
    </row>
    <row r="65" spans="1:36" s="619" customFormat="1" ht="14.25" customHeight="1" x14ac:dyDescent="0.25">
      <c r="A65" s="546" t="s">
        <v>1677</v>
      </c>
      <c r="B65" s="546" t="s">
        <v>1678</v>
      </c>
      <c r="C65" s="546" t="s">
        <v>1694</v>
      </c>
      <c r="D65" s="618">
        <v>11.32</v>
      </c>
      <c r="E65" s="547">
        <v>44</v>
      </c>
      <c r="F65" s="548"/>
      <c r="G65" s="547"/>
      <c r="H65" s="618"/>
      <c r="I65" s="547"/>
      <c r="J65" s="546"/>
      <c r="K65" s="546"/>
      <c r="L65" s="546"/>
    </row>
    <row r="66" spans="1:36" s="619" customFormat="1" ht="14.25" customHeight="1" x14ac:dyDescent="0.25">
      <c r="A66" s="546" t="s">
        <v>1629</v>
      </c>
      <c r="B66" s="546" t="s">
        <v>1630</v>
      </c>
      <c r="C66" s="546" t="s">
        <v>1694</v>
      </c>
      <c r="D66" s="618">
        <v>247.6</v>
      </c>
      <c r="E66" s="547">
        <v>2355</v>
      </c>
      <c r="F66" s="548"/>
      <c r="G66" s="547"/>
      <c r="H66" s="618"/>
      <c r="I66" s="547"/>
      <c r="J66" s="546"/>
      <c r="K66" s="546" t="s">
        <v>804</v>
      </c>
      <c r="L66" s="546"/>
    </row>
    <row r="67" spans="1:36" s="199" customFormat="1" ht="26.25" x14ac:dyDescent="0.25">
      <c r="A67" s="698" t="s">
        <v>878</v>
      </c>
      <c r="B67" s="687"/>
      <c r="C67" s="249" t="s">
        <v>383</v>
      </c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1699</v>
      </c>
      <c r="D68" s="269">
        <v>251</v>
      </c>
      <c r="E68" s="757">
        <v>2386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1699</v>
      </c>
      <c r="D69" s="269">
        <v>169</v>
      </c>
      <c r="E69" s="757">
        <v>1259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1699</v>
      </c>
      <c r="D70" s="269">
        <v>89</v>
      </c>
      <c r="E70" s="757">
        <v>386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1699</v>
      </c>
      <c r="D71" s="269">
        <v>47</v>
      </c>
      <c r="E71" s="757">
        <v>133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1699</v>
      </c>
      <c r="D72" s="269">
        <v>42</v>
      </c>
      <c r="E72" s="757">
        <v>81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1699</v>
      </c>
      <c r="D73" s="269">
        <v>186</v>
      </c>
      <c r="E73" s="757">
        <v>1454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1699</v>
      </c>
      <c r="D74" s="269">
        <v>87</v>
      </c>
      <c r="E74" s="757">
        <v>664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1699</v>
      </c>
      <c r="D75" s="269">
        <v>55</v>
      </c>
      <c r="E75" s="757">
        <v>230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1699</v>
      </c>
      <c r="D76" s="269">
        <v>69</v>
      </c>
      <c r="E76" s="757">
        <v>165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1699</v>
      </c>
      <c r="D77" s="269">
        <v>35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1699</v>
      </c>
      <c r="D78" s="269">
        <v>53</v>
      </c>
      <c r="E78" s="757">
        <v>200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1699</v>
      </c>
      <c r="D79" s="269">
        <v>56.08</v>
      </c>
      <c r="E79" s="757">
        <v>77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1699</v>
      </c>
      <c r="D80" s="328">
        <v>56</v>
      </c>
      <c r="E80" s="763">
        <v>77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1699</v>
      </c>
      <c r="D81" s="269">
        <v>1501</v>
      </c>
      <c r="E81" s="757">
        <v>17160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1699</v>
      </c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1699</v>
      </c>
      <c r="D83" s="269">
        <v>93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1699</v>
      </c>
      <c r="D84" s="269">
        <v>34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1699</v>
      </c>
      <c r="D85" s="269">
        <v>48</v>
      </c>
      <c r="E85" s="757">
        <v>88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1699</v>
      </c>
      <c r="D86" s="269">
        <v>304</v>
      </c>
      <c r="E86" s="757">
        <v>1800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1699</v>
      </c>
      <c r="D87" s="269">
        <v>249</v>
      </c>
      <c r="E87" s="757">
        <v>1800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1699</v>
      </c>
      <c r="D88" s="674">
        <v>270</v>
      </c>
      <c r="E88" s="771">
        <v>20.7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1699</v>
      </c>
      <c r="D89" s="269">
        <v>165</v>
      </c>
      <c r="E89" s="757">
        <v>753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1699</v>
      </c>
      <c r="D90" s="269">
        <v>54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/>
      <c r="D92" s="269"/>
      <c r="E92" s="757"/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1699</v>
      </c>
      <c r="D93" s="269">
        <v>1994</v>
      </c>
      <c r="E93" s="757">
        <v>24480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1699</v>
      </c>
      <c r="D94" s="269">
        <v>219</v>
      </c>
      <c r="E94" s="757">
        <v>1813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1705</v>
      </c>
      <c r="D96" s="269"/>
      <c r="E96" s="757"/>
      <c r="F96" s="544"/>
      <c r="G96" s="757"/>
      <c r="H96" s="269">
        <v>65.47</v>
      </c>
      <c r="I96" s="757">
        <v>69</v>
      </c>
      <c r="J96" s="245"/>
      <c r="K96" s="245"/>
      <c r="L96" s="245"/>
    </row>
    <row r="97" spans="1:12" s="184" customFormat="1" x14ac:dyDescent="0.25">
      <c r="A97" s="695" t="s">
        <v>37</v>
      </c>
      <c r="B97" s="681" t="s">
        <v>190</v>
      </c>
      <c r="C97" s="289" t="s">
        <v>1704</v>
      </c>
      <c r="D97" s="269"/>
      <c r="E97" s="757"/>
      <c r="F97" s="544"/>
      <c r="G97" s="757"/>
      <c r="H97" s="269">
        <v>183.61</v>
      </c>
      <c r="I97" s="757">
        <v>256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1704</v>
      </c>
      <c r="D98" s="269"/>
      <c r="E98" s="757"/>
      <c r="F98" s="544"/>
      <c r="G98" s="757"/>
      <c r="H98" s="269">
        <v>39.299999999999997</v>
      </c>
      <c r="I98" s="757">
        <v>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1704</v>
      </c>
      <c r="D99" s="269"/>
      <c r="E99" s="757"/>
      <c r="F99" s="544"/>
      <c r="G99" s="757"/>
      <c r="H99" s="269">
        <v>39.299999999999997</v>
      </c>
      <c r="I99" s="757">
        <v>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1704</v>
      </c>
      <c r="D100" s="269"/>
      <c r="E100" s="757"/>
      <c r="F100" s="544"/>
      <c r="G100" s="757"/>
      <c r="H100" s="269">
        <v>50.51</v>
      </c>
      <c r="I100" s="757">
        <v>41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1704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1704</v>
      </c>
      <c r="D102" s="269"/>
      <c r="E102" s="757"/>
      <c r="F102" s="544"/>
      <c r="G102" s="757"/>
      <c r="H102" s="269">
        <v>39.299999999999997</v>
      </c>
      <c r="I102" s="757">
        <v>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1704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1704</v>
      </c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1704</v>
      </c>
      <c r="D105" s="269"/>
      <c r="E105" s="757"/>
      <c r="F105" s="544"/>
      <c r="G105" s="757"/>
      <c r="H105" s="269">
        <v>39.299999999999997</v>
      </c>
      <c r="I105" s="757">
        <v>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1704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 t="s">
        <v>1704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1704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1704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1704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1704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1704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1704</v>
      </c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1704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1704</v>
      </c>
      <c r="D115" s="269"/>
      <c r="E115" s="757"/>
      <c r="F115" s="544"/>
      <c r="G115" s="757"/>
      <c r="H115" s="269">
        <v>731.42</v>
      </c>
      <c r="I115" s="757">
        <v>983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1704</v>
      </c>
      <c r="D116" s="269"/>
      <c r="E116" s="757"/>
      <c r="F116" s="544"/>
      <c r="G116" s="757"/>
      <c r="H116" s="269">
        <v>98.25</v>
      </c>
      <c r="I116" s="757">
        <v>125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1704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1704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1704</v>
      </c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1704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1704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1704</v>
      </c>
      <c r="D122" s="269"/>
      <c r="E122" s="757"/>
      <c r="F122" s="544"/>
      <c r="G122" s="757"/>
      <c r="H122" s="269">
        <v>383.34</v>
      </c>
      <c r="I122" s="757">
        <v>528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1704</v>
      </c>
      <c r="D123" s="269"/>
      <c r="E123" s="757"/>
      <c r="F123" s="544"/>
      <c r="G123" s="757"/>
      <c r="H123" s="269">
        <v>56.13</v>
      </c>
      <c r="I123" s="757">
        <v>15</v>
      </c>
      <c r="J123" s="245"/>
      <c r="K123" s="245"/>
      <c r="L123" s="245"/>
    </row>
    <row r="124" spans="1:12" s="184" customFormat="1" x14ac:dyDescent="0.25">
      <c r="A124" s="695" t="s">
        <v>1076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1704</v>
      </c>
      <c r="D125" s="269"/>
      <c r="E125" s="757"/>
      <c r="F125" s="544"/>
      <c r="G125" s="757"/>
      <c r="H125" s="269">
        <v>39.299999999999997</v>
      </c>
      <c r="I125" s="757">
        <v>10</v>
      </c>
      <c r="J125" s="245"/>
      <c r="K125" s="245"/>
      <c r="L125" s="245"/>
    </row>
    <row r="126" spans="1:12" s="184" customFormat="1" x14ac:dyDescent="0.25">
      <c r="A126" s="695" t="s">
        <v>1075</v>
      </c>
      <c r="B126" s="681" t="s">
        <v>192</v>
      </c>
      <c r="C126" s="245" t="s">
        <v>1704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1710</v>
      </c>
      <c r="D127" s="269"/>
      <c r="E127" s="757"/>
      <c r="F127" s="544"/>
      <c r="G127" s="757"/>
      <c r="H127" s="269">
        <v>39.299999999999997</v>
      </c>
      <c r="I127" s="757">
        <v>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1698</v>
      </c>
      <c r="D128" s="269"/>
      <c r="E128" s="757"/>
      <c r="F128" s="544"/>
      <c r="G128" s="757"/>
      <c r="H128" s="269">
        <v>218</v>
      </c>
      <c r="I128" s="757">
        <v>158.6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1710</v>
      </c>
      <c r="D129" s="269"/>
      <c r="E129" s="757"/>
      <c r="F129" s="544"/>
      <c r="G129" s="757"/>
      <c r="H129" s="269">
        <v>1419.92</v>
      </c>
      <c r="I129" s="757">
        <v>1883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1710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1710</v>
      </c>
      <c r="D131" s="269"/>
      <c r="E131" s="757"/>
      <c r="F131" s="544"/>
      <c r="G131" s="757"/>
      <c r="H131" s="269">
        <v>2515.4</v>
      </c>
      <c r="I131" s="757">
        <v>3315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1710</v>
      </c>
      <c r="D132" s="269"/>
      <c r="E132" s="757"/>
      <c r="F132" s="544"/>
      <c r="G132" s="757"/>
      <c r="H132" s="269">
        <v>39.9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1710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89" t="s">
        <v>1710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1088</v>
      </c>
      <c r="B135" s="681" t="s">
        <v>145</v>
      </c>
      <c r="C135" s="245" t="s">
        <v>1710</v>
      </c>
      <c r="D135" s="269"/>
      <c r="E135" s="757"/>
      <c r="F135" s="544"/>
      <c r="G135" s="757"/>
      <c r="H135" s="269">
        <v>476.67</v>
      </c>
      <c r="I135" s="757">
        <v>650</v>
      </c>
      <c r="J135" s="245"/>
      <c r="K135" s="245"/>
      <c r="L135" s="245"/>
    </row>
    <row r="136" spans="1:36" s="184" customFormat="1" x14ac:dyDescent="0.25">
      <c r="A136" s="695" t="s">
        <v>1086</v>
      </c>
      <c r="B136" s="681" t="s">
        <v>147</v>
      </c>
      <c r="C136" s="245" t="s">
        <v>1710</v>
      </c>
      <c r="D136" s="269"/>
      <c r="E136" s="757"/>
      <c r="F136" s="544"/>
      <c r="G136" s="757"/>
      <c r="H136" s="269">
        <v>272.69</v>
      </c>
      <c r="I136" s="757">
        <v>382</v>
      </c>
      <c r="J136" s="245"/>
      <c r="K136" s="245"/>
      <c r="L136" s="245"/>
    </row>
    <row r="137" spans="1:36" s="184" customFormat="1" x14ac:dyDescent="0.25">
      <c r="A137" s="695" t="s">
        <v>176</v>
      </c>
      <c r="B137" s="759" t="s">
        <v>165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107</v>
      </c>
      <c r="B139" s="681">
        <v>67</v>
      </c>
      <c r="C139" s="289" t="s">
        <v>1709</v>
      </c>
      <c r="D139" s="269"/>
      <c r="E139" s="757"/>
      <c r="F139" s="544"/>
      <c r="G139" s="757"/>
      <c r="H139" s="269">
        <v>50</v>
      </c>
      <c r="I139" s="757">
        <v>0</v>
      </c>
      <c r="J139" s="245"/>
      <c r="K139" s="245"/>
      <c r="L139" s="245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109</v>
      </c>
      <c r="B140" s="775">
        <v>95</v>
      </c>
      <c r="C140" s="245"/>
      <c r="D140" s="269"/>
      <c r="E140" s="757"/>
      <c r="F140" s="544"/>
      <c r="G140" s="757"/>
      <c r="H140" s="269"/>
      <c r="I140" s="757"/>
      <c r="J140" s="245"/>
      <c r="K140" s="245"/>
      <c r="L140" s="245"/>
    </row>
    <row r="141" spans="1:36" s="199" customFormat="1" x14ac:dyDescent="0.25">
      <c r="A141" s="694" t="s">
        <v>432</v>
      </c>
      <c r="B141" s="691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49" customFormat="1" x14ac:dyDescent="0.25">
      <c r="A142" s="695" t="s">
        <v>1137</v>
      </c>
      <c r="B142" s="759">
        <v>61</v>
      </c>
      <c r="C142" s="289"/>
      <c r="D142" s="269"/>
      <c r="E142" s="757"/>
      <c r="F142" s="544"/>
      <c r="G142" s="757"/>
      <c r="H142" s="269"/>
      <c r="I142" s="757"/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99" customFormat="1" x14ac:dyDescent="0.25">
      <c r="A143" s="698" t="s">
        <v>431</v>
      </c>
      <c r="B143" s="690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ht="26.25" x14ac:dyDescent="0.25">
      <c r="A144" s="695" t="s">
        <v>40</v>
      </c>
      <c r="B144" s="759">
        <v>95</v>
      </c>
      <c r="C144" s="289" t="s">
        <v>1700</v>
      </c>
      <c r="D144" s="269"/>
      <c r="E144" s="757"/>
      <c r="F144" s="544"/>
      <c r="G144" s="757"/>
      <c r="H144" s="269">
        <v>55</v>
      </c>
      <c r="I144" s="757">
        <v>0</v>
      </c>
      <c r="J144" s="245"/>
      <c r="K144" s="245"/>
      <c r="L144" s="245"/>
    </row>
    <row r="145" spans="1:88" s="199" customFormat="1" ht="26.25" x14ac:dyDescent="0.25">
      <c r="A145" s="698" t="s">
        <v>430</v>
      </c>
      <c r="B145" s="690" t="s">
        <v>356</v>
      </c>
      <c r="C145" s="303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355</v>
      </c>
      <c r="B146" s="692"/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</row>
    <row r="147" spans="1:88" s="359" customFormat="1" ht="46.5" customHeight="1" x14ac:dyDescent="0.25">
      <c r="A147" s="715"/>
      <c r="B147" s="715"/>
      <c r="C147" s="355"/>
      <c r="D147" s="356"/>
      <c r="E147" s="758"/>
      <c r="F147" s="717"/>
      <c r="G147" s="758"/>
      <c r="H147" s="356"/>
      <c r="I147" s="758"/>
      <c r="J147" s="718"/>
      <c r="K147" s="355"/>
      <c r="L147" s="355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</sheetData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M17" sqref="M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99"/>
      <c r="B4" s="900"/>
      <c r="C4" s="900"/>
      <c r="D4" s="900"/>
      <c r="E4" s="900"/>
      <c r="F4" s="900"/>
      <c r="G4" s="90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190204.81</v>
      </c>
      <c r="D13" s="34"/>
      <c r="E13" s="35" t="s">
        <v>33</v>
      </c>
      <c r="F13" s="34"/>
      <c r="G13" s="42">
        <v>18465.900000000001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4667</v>
      </c>
      <c r="D15" s="34"/>
      <c r="E15" s="35" t="s">
        <v>10</v>
      </c>
      <c r="F15" s="34"/>
      <c r="G15" s="42">
        <v>4099.3900000000003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11244</v>
      </c>
      <c r="D17" s="34"/>
      <c r="E17" s="35" t="s">
        <v>278</v>
      </c>
      <c r="F17" s="34"/>
      <c r="G17" s="42">
        <v>8434.82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115" activePane="bottomLeft" state="frozen"/>
      <selection pane="bottomLeft" activeCell="I126" sqref="I12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11.710937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9.140625" style="757" customWidth="1"/>
    <col min="10" max="10" width="7.7109375" style="245" customWidth="1"/>
    <col min="11" max="11" width="25.14062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1539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1679</v>
      </c>
      <c r="D4" s="269"/>
      <c r="E4" s="757"/>
      <c r="F4" s="544">
        <v>281.87</v>
      </c>
      <c r="G4" s="757">
        <v>125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1631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1680</v>
      </c>
      <c r="D6" s="269"/>
      <c r="E6" s="757"/>
      <c r="F6" s="544">
        <v>103.15</v>
      </c>
      <c r="G6" s="757">
        <v>127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1668</v>
      </c>
      <c r="D7" s="269"/>
      <c r="E7" s="757"/>
      <c r="F7" s="544">
        <v>154.49</v>
      </c>
      <c r="G7" s="757">
        <v>33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1668</v>
      </c>
      <c r="D8" s="269"/>
      <c r="E8" s="757"/>
      <c r="F8" s="544">
        <v>124.26</v>
      </c>
      <c r="G8" s="757">
        <v>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1679</v>
      </c>
      <c r="D9" s="269"/>
      <c r="E9" s="757"/>
      <c r="F9" s="544">
        <v>330.76</v>
      </c>
      <c r="G9" s="757">
        <v>162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1679</v>
      </c>
      <c r="D10" s="269"/>
      <c r="E10" s="757"/>
      <c r="F10" s="544">
        <v>262.42</v>
      </c>
      <c r="G10" s="757">
        <v>139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1679</v>
      </c>
      <c r="D11" s="269"/>
      <c r="E11" s="757"/>
      <c r="F11" s="544">
        <v>296.79000000000002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1668</v>
      </c>
      <c r="D12" s="269"/>
      <c r="E12" s="757"/>
      <c r="F12" s="544">
        <v>49.82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1679</v>
      </c>
      <c r="D13" s="269"/>
      <c r="E13" s="757"/>
      <c r="F13" s="544">
        <v>50.47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1679</v>
      </c>
      <c r="D14" s="269"/>
      <c r="E14" s="757"/>
      <c r="F14" s="544">
        <v>156.41999999999999</v>
      </c>
      <c r="G14" s="757">
        <v>254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1680</v>
      </c>
      <c r="D15" s="269"/>
      <c r="E15" s="757"/>
      <c r="F15" s="544">
        <v>61.67</v>
      </c>
      <c r="G15" s="757">
        <v>27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1702</v>
      </c>
      <c r="D16" s="269"/>
      <c r="E16" s="757"/>
      <c r="F16" s="544">
        <v>80.28</v>
      </c>
      <c r="G16" s="757">
        <v>72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89" t="s">
        <v>1683</v>
      </c>
      <c r="D17" s="269"/>
      <c r="E17" s="757"/>
      <c r="F17" s="544">
        <v>48.37</v>
      </c>
      <c r="G17" s="757">
        <v>46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1683</v>
      </c>
      <c r="D18" s="269"/>
      <c r="E18" s="757"/>
      <c r="F18" s="544">
        <v>58.83</v>
      </c>
      <c r="G18" s="757">
        <v>22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84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1669</v>
      </c>
      <c r="D20" s="885">
        <v>240.14</v>
      </c>
      <c r="E20" s="618">
        <v>2613</v>
      </c>
      <c r="F20" s="61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885">
        <v>0</v>
      </c>
      <c r="E21" s="618">
        <v>0</v>
      </c>
      <c r="F21" s="61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885">
        <v>19.72</v>
      </c>
      <c r="E22" s="618">
        <v>172</v>
      </c>
      <c r="F22" s="61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885">
        <v>17.27</v>
      </c>
      <c r="E23" s="618">
        <v>150</v>
      </c>
      <c r="F23" s="61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885">
        <v>81.400000000000006</v>
      </c>
      <c r="E24" s="618">
        <v>1064</v>
      </c>
      <c r="F24" s="61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885">
        <v>250.6</v>
      </c>
      <c r="E25" s="618">
        <v>2120</v>
      </c>
      <c r="F25" s="61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885">
        <v>13.64</v>
      </c>
      <c r="E26" s="618">
        <v>80</v>
      </c>
      <c r="F26" s="61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885">
        <v>66.430000000000007</v>
      </c>
      <c r="E27" s="618">
        <v>846</v>
      </c>
      <c r="F27" s="61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885">
        <v>17.62</v>
      </c>
      <c r="E28" s="618">
        <v>150</v>
      </c>
      <c r="F28" s="61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885">
        <v>16.97</v>
      </c>
      <c r="E29" s="618">
        <v>126</v>
      </c>
      <c r="F29" s="61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885">
        <v>187.47</v>
      </c>
      <c r="E30" s="618">
        <v>1251</v>
      </c>
      <c r="F30" s="61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885">
        <v>584.46</v>
      </c>
      <c r="E31" s="618">
        <v>8280</v>
      </c>
      <c r="F31" s="61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885">
        <v>17.62</v>
      </c>
      <c r="E32" s="618">
        <v>150</v>
      </c>
      <c r="F32" s="61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885">
        <v>22.21</v>
      </c>
      <c r="E33" s="618">
        <v>160</v>
      </c>
      <c r="F33" s="61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885">
        <v>211.96</v>
      </c>
      <c r="E34" s="618">
        <v>1444</v>
      </c>
      <c r="F34" s="61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885">
        <v>10.92</v>
      </c>
      <c r="E35" s="618">
        <v>70</v>
      </c>
      <c r="F35" s="61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885">
        <v>95</v>
      </c>
      <c r="E36" s="618">
        <v>1262</v>
      </c>
      <c r="F36" s="618"/>
      <c r="G36" s="547"/>
      <c r="H36" s="618"/>
      <c r="I36" s="547"/>
      <c r="J36" s="546"/>
      <c r="K36" s="546" t="s">
        <v>826</v>
      </c>
      <c r="L36" s="546"/>
    </row>
    <row r="37" spans="1:12" s="570" customFormat="1" ht="14.25" customHeight="1" x14ac:dyDescent="0.25">
      <c r="A37" s="568" t="s">
        <v>1670</v>
      </c>
      <c r="B37" s="568" t="s">
        <v>1671</v>
      </c>
      <c r="C37" s="568"/>
      <c r="D37" s="886">
        <v>12</v>
      </c>
      <c r="E37" s="573">
        <v>84</v>
      </c>
      <c r="F37" s="573"/>
      <c r="G37" s="569"/>
      <c r="H37" s="573"/>
      <c r="I37" s="569"/>
      <c r="J37" s="568"/>
      <c r="K37" s="568" t="s">
        <v>1685</v>
      </c>
      <c r="L37" s="568"/>
    </row>
    <row r="38" spans="1:12" s="570" customFormat="1" ht="14.25" customHeight="1" x14ac:dyDescent="0.25">
      <c r="A38" s="568" t="s">
        <v>1580</v>
      </c>
      <c r="B38" s="568" t="s">
        <v>1581</v>
      </c>
      <c r="C38" s="568"/>
      <c r="D38" s="886">
        <v>3482.13</v>
      </c>
      <c r="E38" s="573">
        <v>58900</v>
      </c>
      <c r="F38" s="573"/>
      <c r="G38" s="569"/>
      <c r="H38" s="573"/>
      <c r="I38" s="569"/>
      <c r="J38" s="568"/>
      <c r="K38" s="568"/>
      <c r="L38" s="568"/>
    </row>
    <row r="39" spans="1:12" s="570" customFormat="1" ht="14.25" customHeight="1" x14ac:dyDescent="0.25">
      <c r="A39" s="568" t="s">
        <v>1672</v>
      </c>
      <c r="B39" s="568" t="s">
        <v>1583</v>
      </c>
      <c r="C39" s="568"/>
      <c r="D39" s="886">
        <v>119.33</v>
      </c>
      <c r="E39" s="573">
        <v>1616</v>
      </c>
      <c r="F39" s="573"/>
      <c r="G39" s="569"/>
      <c r="H39" s="573"/>
      <c r="I39" s="569"/>
      <c r="J39" s="568"/>
      <c r="K39" s="568"/>
      <c r="L39" s="568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885">
        <v>55.79</v>
      </c>
      <c r="E40" s="618">
        <v>300</v>
      </c>
      <c r="F40" s="61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885">
        <v>20.170000000000002</v>
      </c>
      <c r="E41" s="618">
        <v>140</v>
      </c>
      <c r="F41" s="61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885">
        <v>17.62</v>
      </c>
      <c r="E42" s="618">
        <v>150</v>
      </c>
      <c r="F42" s="61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885">
        <v>13.64</v>
      </c>
      <c r="E43" s="618">
        <v>80</v>
      </c>
      <c r="F43" s="61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885">
        <v>824.41</v>
      </c>
      <c r="E44" s="618">
        <v>9780</v>
      </c>
      <c r="F44" s="61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885">
        <v>10.92</v>
      </c>
      <c r="E45" s="618">
        <v>70</v>
      </c>
      <c r="F45" s="61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885">
        <v>88.77</v>
      </c>
      <c r="E46" s="618">
        <v>1171</v>
      </c>
      <c r="F46" s="61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885">
        <v>107.35</v>
      </c>
      <c r="E47" s="618">
        <v>770</v>
      </c>
      <c r="F47" s="61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1673</v>
      </c>
      <c r="B48" s="546" t="s">
        <v>1674</v>
      </c>
      <c r="C48" s="546"/>
      <c r="D48" s="885">
        <v>7.34</v>
      </c>
      <c r="E48" s="618">
        <v>0</v>
      </c>
      <c r="F48" s="61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885">
        <v>78.459999999999994</v>
      </c>
      <c r="E49" s="618">
        <v>1021</v>
      </c>
      <c r="F49" s="61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885">
        <v>235.16</v>
      </c>
      <c r="E50" s="618">
        <v>1871</v>
      </c>
      <c r="F50" s="61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885">
        <v>8.9</v>
      </c>
      <c r="E51" s="618">
        <v>9</v>
      </c>
      <c r="F51" s="61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885">
        <v>253.36</v>
      </c>
      <c r="E52" s="618">
        <v>2845</v>
      </c>
      <c r="F52" s="61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885">
        <v>65.900000000000006</v>
      </c>
      <c r="E53" s="618">
        <v>868</v>
      </c>
      <c r="F53" s="61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885">
        <v>893.65</v>
      </c>
      <c r="E54" s="618">
        <v>11880</v>
      </c>
      <c r="F54" s="61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885">
        <v>57.62</v>
      </c>
      <c r="E55" s="618">
        <v>735</v>
      </c>
      <c r="F55" s="61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885">
        <v>59.25</v>
      </c>
      <c r="E56" s="618">
        <v>39</v>
      </c>
      <c r="F56" s="61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885">
        <v>1340.34</v>
      </c>
      <c r="E57" s="618">
        <v>11550</v>
      </c>
      <c r="F57" s="61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885">
        <v>505.2</v>
      </c>
      <c r="E58" s="618">
        <v>3000</v>
      </c>
      <c r="F58" s="61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885">
        <v>138.91999999999999</v>
      </c>
      <c r="E59" s="618">
        <v>80</v>
      </c>
      <c r="F59" s="61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885">
        <v>321.32</v>
      </c>
      <c r="E60" s="618">
        <v>1400</v>
      </c>
      <c r="F60" s="61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885">
        <v>795.5</v>
      </c>
      <c r="E61" s="618">
        <v>4560</v>
      </c>
      <c r="F61" s="61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885">
        <v>177.01</v>
      </c>
      <c r="E62" s="618">
        <v>600</v>
      </c>
      <c r="F62" s="61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885">
        <v>8.1300000000000008</v>
      </c>
      <c r="E63" s="618">
        <v>0</v>
      </c>
      <c r="F63" s="61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885">
        <v>10.78</v>
      </c>
      <c r="E64" s="618">
        <v>42</v>
      </c>
      <c r="F64" s="61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885">
        <v>539.03</v>
      </c>
      <c r="E65" s="618">
        <v>7695</v>
      </c>
      <c r="F65" s="61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885">
        <v>98.55</v>
      </c>
      <c r="E66" s="618">
        <v>480</v>
      </c>
      <c r="F66" s="61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885">
        <v>281.87</v>
      </c>
      <c r="E67" s="618">
        <v>2387</v>
      </c>
      <c r="F67" s="618"/>
      <c r="G67" s="547"/>
      <c r="H67" s="618"/>
      <c r="I67" s="547"/>
      <c r="J67" s="546"/>
      <c r="K67" s="546" t="s">
        <v>804</v>
      </c>
      <c r="L67" s="546"/>
    </row>
    <row r="68" spans="1:36" s="898" customFormat="1" ht="14.25" customHeight="1" x14ac:dyDescent="0.25">
      <c r="A68" s="894" t="s">
        <v>1686</v>
      </c>
      <c r="B68" s="894"/>
      <c r="C68" s="894"/>
      <c r="D68" s="895"/>
      <c r="E68" s="896"/>
      <c r="F68" s="896"/>
      <c r="G68" s="897"/>
      <c r="H68" s="896"/>
      <c r="I68" s="897"/>
      <c r="J68" s="894"/>
      <c r="K68" s="894"/>
      <c r="L68" s="894"/>
    </row>
    <row r="69" spans="1:36" s="619" customFormat="1" ht="14.25" customHeight="1" x14ac:dyDescent="0.25">
      <c r="A69" s="546" t="s">
        <v>1687</v>
      </c>
      <c r="B69" s="546">
        <v>5216007172</v>
      </c>
      <c r="C69" s="876" t="s">
        <v>1688</v>
      </c>
      <c r="D69" s="885">
        <v>11.37</v>
      </c>
      <c r="E69" s="618">
        <v>44</v>
      </c>
      <c r="F69" s="618"/>
      <c r="G69" s="547"/>
      <c r="H69" s="618"/>
      <c r="I69" s="547"/>
      <c r="J69" s="546"/>
      <c r="K69" s="546" t="s">
        <v>1689</v>
      </c>
      <c r="L69" s="546"/>
    </row>
    <row r="70" spans="1:36" s="619" customFormat="1" ht="14.25" customHeight="1" x14ac:dyDescent="0.25">
      <c r="A70" s="546"/>
      <c r="B70" s="546"/>
      <c r="C70" s="546"/>
      <c r="D70" s="885"/>
      <c r="E70" s="618"/>
      <c r="F70" s="618"/>
      <c r="G70" s="547"/>
      <c r="H70" s="618"/>
      <c r="I70" s="547"/>
      <c r="J70" s="546"/>
      <c r="K70" s="546"/>
      <c r="L70" s="546"/>
    </row>
    <row r="71" spans="1:36" s="199" customFormat="1" ht="26.25" x14ac:dyDescent="0.25">
      <c r="A71" s="698" t="s">
        <v>878</v>
      </c>
      <c r="B71" s="687"/>
      <c r="C71" s="858"/>
      <c r="D71" s="893"/>
      <c r="E71" s="859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546" t="s">
        <v>1682</v>
      </c>
      <c r="D72" s="885">
        <v>190</v>
      </c>
      <c r="E72" s="618">
        <v>1750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546" t="s">
        <v>1682</v>
      </c>
      <c r="D73" s="885">
        <v>173</v>
      </c>
      <c r="E73" s="618">
        <v>1338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54</v>
      </c>
      <c r="B74" s="681">
        <v>7039100</v>
      </c>
      <c r="C74" s="546" t="s">
        <v>1682</v>
      </c>
      <c r="D74" s="885">
        <v>91</v>
      </c>
      <c r="E74" s="618">
        <v>410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 t="s">
        <v>1682</v>
      </c>
      <c r="D75" s="269">
        <v>45</v>
      </c>
      <c r="E75" s="757">
        <v>119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 t="s">
        <v>1682</v>
      </c>
      <c r="D76" s="269">
        <v>42</v>
      </c>
      <c r="E76" s="757">
        <v>81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 t="s">
        <v>1682</v>
      </c>
      <c r="D77" s="269">
        <v>247</v>
      </c>
      <c r="E77" s="757">
        <v>2174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>
        <v>43922</v>
      </c>
      <c r="D78" s="269">
        <v>104</v>
      </c>
      <c r="E78" s="757">
        <v>858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 t="s">
        <v>1682</v>
      </c>
      <c r="D79" s="269">
        <v>56</v>
      </c>
      <c r="E79" s="757">
        <v>239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60</v>
      </c>
      <c r="B80" s="681" t="s">
        <v>217</v>
      </c>
      <c r="C80" s="289" t="s">
        <v>1682</v>
      </c>
      <c r="D80" s="269">
        <v>68</v>
      </c>
      <c r="E80" s="757">
        <v>149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 t="s">
        <v>1682</v>
      </c>
      <c r="D81" s="269">
        <v>35</v>
      </c>
      <c r="E81" s="757">
        <v>2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 t="s">
        <v>1682</v>
      </c>
      <c r="D82" s="269">
        <v>41</v>
      </c>
      <c r="E82" s="757">
        <v>77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 t="s">
        <v>1682</v>
      </c>
      <c r="D83" s="269">
        <v>55.68</v>
      </c>
      <c r="E83" s="757">
        <v>19</v>
      </c>
      <c r="F83" s="544"/>
      <c r="G83" s="757"/>
      <c r="H83" s="269"/>
      <c r="I83" s="757"/>
      <c r="J83" s="245"/>
      <c r="K83" s="245"/>
      <c r="L83" s="245"/>
    </row>
    <row r="84" spans="1:12" s="331" customFormat="1" x14ac:dyDescent="0.25">
      <c r="A84" s="764" t="s">
        <v>621</v>
      </c>
      <c r="B84" s="762" t="s">
        <v>201</v>
      </c>
      <c r="C84" s="848" t="s">
        <v>1682</v>
      </c>
      <c r="D84" s="328">
        <v>55</v>
      </c>
      <c r="E84" s="763">
        <v>75</v>
      </c>
      <c r="F84" s="620"/>
      <c r="G84" s="763"/>
      <c r="H84" s="328"/>
      <c r="I84" s="763"/>
      <c r="J84" s="327" t="s">
        <v>33</v>
      </c>
      <c r="K84" s="327"/>
      <c r="L84" s="327"/>
    </row>
    <row r="85" spans="1:12" s="184" customFormat="1" x14ac:dyDescent="0.25">
      <c r="A85" s="695" t="s">
        <v>768</v>
      </c>
      <c r="B85" s="681" t="s">
        <v>202</v>
      </c>
      <c r="C85" s="327" t="s">
        <v>1682</v>
      </c>
      <c r="D85" s="328">
        <v>55</v>
      </c>
      <c r="E85" s="763">
        <v>75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96</v>
      </c>
      <c r="B86" s="681">
        <v>7815400</v>
      </c>
      <c r="C86" s="289" t="s">
        <v>1682</v>
      </c>
      <c r="D86" s="269">
        <v>1238</v>
      </c>
      <c r="E86" s="757">
        <v>12600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97</v>
      </c>
      <c r="B87" s="681" t="s">
        <v>204</v>
      </c>
      <c r="C87" s="245" t="s">
        <v>1682</v>
      </c>
      <c r="D87" s="269">
        <v>93</v>
      </c>
      <c r="E87" s="757">
        <v>1.77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 t="s">
        <v>1682</v>
      </c>
      <c r="D88" s="269">
        <v>34</v>
      </c>
      <c r="E88" s="757">
        <v>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 t="s">
        <v>1682</v>
      </c>
      <c r="D89" s="269">
        <v>40</v>
      </c>
      <c r="E89" s="757">
        <v>0.44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100</v>
      </c>
      <c r="B90" s="768">
        <v>1323346600</v>
      </c>
      <c r="C90" s="245" t="s">
        <v>1682</v>
      </c>
      <c r="D90" s="269">
        <v>352</v>
      </c>
      <c r="E90" s="757">
        <v>24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101</v>
      </c>
      <c r="B91" s="768">
        <v>1322699400</v>
      </c>
      <c r="C91" s="289" t="s">
        <v>1682</v>
      </c>
      <c r="D91" s="269">
        <v>345</v>
      </c>
      <c r="E91" s="757">
        <v>1800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677" customFormat="1" x14ac:dyDescent="0.25">
      <c r="A92" s="761" t="s">
        <v>772</v>
      </c>
      <c r="B92" s="769" t="s">
        <v>200</v>
      </c>
      <c r="C92" s="770"/>
      <c r="D92" s="674">
        <v>266</v>
      </c>
      <c r="E92" s="771">
        <v>20.6</v>
      </c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 t="s">
        <v>1682</v>
      </c>
      <c r="D93" s="269">
        <v>132</v>
      </c>
      <c r="E93" s="757">
        <v>409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 t="s">
        <v>1682</v>
      </c>
      <c r="D94" s="269">
        <v>60</v>
      </c>
      <c r="E94" s="757">
        <v>66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/>
      <c r="D95" s="269">
        <v>92</v>
      </c>
      <c r="E95" s="757">
        <v>445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/>
      <c r="D96" s="269">
        <v>76</v>
      </c>
      <c r="E96" s="757">
        <v>463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 t="s">
        <v>1682</v>
      </c>
      <c r="D97" s="269">
        <v>1753</v>
      </c>
      <c r="E97" s="757">
        <v>20880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234</v>
      </c>
      <c r="E98" s="757">
        <v>2024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 t="s">
        <v>1691</v>
      </c>
      <c r="D100" s="269"/>
      <c r="E100" s="757"/>
      <c r="F100" s="544"/>
      <c r="G100" s="757"/>
      <c r="H100" s="269">
        <v>82.02</v>
      </c>
      <c r="I100" s="757">
        <v>100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45" t="s">
        <v>1691</v>
      </c>
      <c r="D101" s="269"/>
      <c r="E101" s="757"/>
      <c r="F101" s="544"/>
      <c r="G101" s="757"/>
      <c r="H101" s="269">
        <v>249.36</v>
      </c>
      <c r="I101" s="757">
        <v>349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 t="s">
        <v>1691</v>
      </c>
      <c r="D102" s="269"/>
      <c r="E102" s="757"/>
      <c r="F102" s="544"/>
      <c r="G102" s="757"/>
      <c r="H102" s="269">
        <v>39.299999999999997</v>
      </c>
      <c r="I102" s="757">
        <v>3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 t="s">
        <v>1691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 t="s">
        <v>1691</v>
      </c>
      <c r="D104" s="269"/>
      <c r="E104" s="757"/>
      <c r="F104" s="544"/>
      <c r="G104" s="757"/>
      <c r="H104" s="269">
        <v>45.71</v>
      </c>
      <c r="I104" s="757">
        <v>32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 t="s">
        <v>1691</v>
      </c>
      <c r="D105" s="269"/>
      <c r="E105" s="757"/>
      <c r="F105" s="544"/>
      <c r="G105" s="757"/>
      <c r="H105" s="269">
        <v>39.299999999999997</v>
      </c>
      <c r="I105" s="757">
        <v>6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 t="s">
        <v>1691</v>
      </c>
      <c r="D106" s="269"/>
      <c r="E106" s="757"/>
      <c r="F106" s="544"/>
      <c r="G106" s="757"/>
      <c r="H106" s="269">
        <v>39.299999999999997</v>
      </c>
      <c r="I106" s="757">
        <v>12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 t="s">
        <v>1691</v>
      </c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 t="s">
        <v>1691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 t="s">
        <v>1691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45" t="s">
        <v>1691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245" t="s">
        <v>1691</v>
      </c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 t="s">
        <v>1691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 t="s">
        <v>1691</v>
      </c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 t="s">
        <v>1691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45" t="s">
        <v>1691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 t="s">
        <v>1691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 t="s">
        <v>1691</v>
      </c>
      <c r="D117" s="269"/>
      <c r="E117" s="757"/>
      <c r="F117" s="544"/>
      <c r="G117" s="757"/>
      <c r="H117" s="269">
        <v>39.299999999999997</v>
      </c>
      <c r="I117" s="757">
        <v>6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 t="s">
        <v>1691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45" t="s">
        <v>1691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 t="s">
        <v>1691</v>
      </c>
      <c r="D120" s="269"/>
      <c r="E120" s="757"/>
      <c r="F120" s="544"/>
      <c r="G120" s="757"/>
      <c r="H120" s="269">
        <v>218.96</v>
      </c>
      <c r="I120" s="757">
        <v>306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 t="s">
        <v>1691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 t="s">
        <v>1691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 t="s">
        <v>1691</v>
      </c>
      <c r="D123" s="269"/>
      <c r="E123" s="757"/>
      <c r="F123" s="544"/>
      <c r="G123" s="757"/>
      <c r="H123" s="269">
        <v>39.303899999999999</v>
      </c>
      <c r="I123" s="757">
        <v>1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 t="s">
        <v>383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 t="s">
        <v>1691</v>
      </c>
      <c r="D125" s="269"/>
      <c r="E125" s="757"/>
      <c r="F125" s="544"/>
      <c r="G125" s="757"/>
      <c r="H125" s="269">
        <v>39.299999999999997</v>
      </c>
      <c r="I125" s="757">
        <v>3</v>
      </c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 t="s">
        <v>1682</v>
      </c>
      <c r="D126" s="269"/>
      <c r="E126" s="757"/>
      <c r="F126" s="544"/>
      <c r="G126" s="757"/>
      <c r="H126" s="269">
        <v>170.93</v>
      </c>
      <c r="I126" s="757">
        <v>237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 t="s">
        <v>1691</v>
      </c>
      <c r="D127" s="269"/>
      <c r="E127" s="757"/>
      <c r="F127" s="544"/>
      <c r="G127" s="757"/>
      <c r="H127" s="269">
        <v>56.13</v>
      </c>
      <c r="I127" s="757">
        <v>20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 t="s">
        <v>1691</v>
      </c>
      <c r="D128" s="269"/>
      <c r="E128" s="757"/>
      <c r="F128" s="544"/>
      <c r="G128" s="757"/>
      <c r="H128" s="269">
        <v>1</v>
      </c>
      <c r="I128" s="757"/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 t="s">
        <v>1691</v>
      </c>
      <c r="D129" s="269"/>
      <c r="E129" s="757"/>
      <c r="F129" s="544"/>
      <c r="G129" s="757"/>
      <c r="H129" s="269">
        <v>39.299999999999997</v>
      </c>
      <c r="I129" s="757">
        <v>16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 t="s">
        <v>1691</v>
      </c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 t="s">
        <v>1693</v>
      </c>
      <c r="D131" s="269"/>
      <c r="E131" s="757"/>
      <c r="F131" s="544"/>
      <c r="G131" s="757"/>
      <c r="H131" s="269">
        <v>39.299999999999997</v>
      </c>
      <c r="I131" s="757">
        <v>1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 t="s">
        <v>1691</v>
      </c>
      <c r="D132" s="269"/>
      <c r="E132" s="757"/>
      <c r="F132" s="544"/>
      <c r="G132" s="757"/>
      <c r="H132" s="269">
        <v>158.6</v>
      </c>
      <c r="I132" s="757">
        <v>218</v>
      </c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 t="s">
        <v>1693</v>
      </c>
      <c r="D133" s="269"/>
      <c r="E133" s="757"/>
      <c r="F133" s="544"/>
      <c r="G133" s="757"/>
      <c r="H133" s="269">
        <v>1141.46</v>
      </c>
      <c r="I133" s="757">
        <v>1519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 t="s">
        <v>1693</v>
      </c>
      <c r="D134" s="269"/>
      <c r="E134" s="757"/>
      <c r="F134" s="544"/>
      <c r="G134" s="757"/>
      <c r="H134" s="269">
        <v>39.299999999999997</v>
      </c>
      <c r="I134" s="757">
        <v>4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 t="s">
        <v>1693</v>
      </c>
      <c r="D135" s="269"/>
      <c r="E135" s="757"/>
      <c r="F135" s="544"/>
      <c r="G135" s="757"/>
      <c r="H135" s="269">
        <v>3244.44</v>
      </c>
      <c r="I135" s="757">
        <v>4269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 t="s">
        <v>1693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 t="s">
        <v>1693</v>
      </c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 t="s">
        <v>1693</v>
      </c>
      <c r="D138" s="269"/>
      <c r="E138" s="757"/>
      <c r="F138" s="544"/>
      <c r="G138" s="757"/>
      <c r="H138" s="269">
        <v>454.49</v>
      </c>
      <c r="I138" s="757">
        <v>621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 t="s">
        <v>1693</v>
      </c>
      <c r="D139" s="269"/>
      <c r="E139" s="757"/>
      <c r="F139" s="544"/>
      <c r="G139" s="757"/>
      <c r="H139" s="269">
        <v>529.46</v>
      </c>
      <c r="I139" s="757">
        <v>719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 t="s">
        <v>1693</v>
      </c>
      <c r="D140" s="269"/>
      <c r="E140" s="757"/>
      <c r="F140" s="544"/>
      <c r="G140" s="757"/>
      <c r="H140" s="269">
        <v>365.75</v>
      </c>
      <c r="I140" s="757">
        <v>505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 t="s">
        <v>1692</v>
      </c>
      <c r="D141" s="269"/>
      <c r="E141" s="757"/>
      <c r="F141" s="544"/>
      <c r="G141" s="757"/>
      <c r="H141" s="269">
        <v>390.99</v>
      </c>
      <c r="I141" s="757">
        <v>538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107</v>
      </c>
      <c r="B143" s="681">
        <v>67</v>
      </c>
      <c r="C143" s="289" t="s">
        <v>1682</v>
      </c>
      <c r="D143" s="269"/>
      <c r="E143" s="757"/>
      <c r="F143" s="544"/>
      <c r="G143" s="757"/>
      <c r="H143" s="269">
        <v>60</v>
      </c>
      <c r="I143" s="757">
        <v>300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x14ac:dyDescent="0.25">
      <c r="A144" s="695" t="s">
        <v>109</v>
      </c>
      <c r="B144" s="775">
        <v>95</v>
      </c>
      <c r="C144" s="245" t="s">
        <v>1682</v>
      </c>
      <c r="D144" s="269"/>
      <c r="E144" s="757"/>
      <c r="F144" s="544"/>
      <c r="G144" s="757"/>
      <c r="H144" s="269">
        <v>60</v>
      </c>
      <c r="I144" s="757">
        <v>300</v>
      </c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1137</v>
      </c>
      <c r="B146" s="759">
        <v>61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 t="s">
        <v>1681</v>
      </c>
      <c r="D148" s="269"/>
      <c r="E148" s="757"/>
      <c r="F148" s="544"/>
      <c r="G148" s="757"/>
      <c r="H148" s="269">
        <v>35</v>
      </c>
      <c r="I148" s="757">
        <v>3</v>
      </c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 t="s">
        <v>1690</v>
      </c>
      <c r="D150" s="269"/>
      <c r="E150" s="757"/>
      <c r="F150" s="544"/>
      <c r="G150" s="757"/>
      <c r="H150" s="269">
        <v>70.12</v>
      </c>
      <c r="I150" s="757">
        <v>1153</v>
      </c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7" sqref="E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1684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90"/>
      <c r="B4" s="891"/>
      <c r="C4" s="891"/>
      <c r="D4" s="891"/>
      <c r="E4" s="891"/>
      <c r="F4" s="891"/>
      <c r="G4" s="89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189812.04</v>
      </c>
      <c r="D13" s="34"/>
      <c r="E13" s="35" t="s">
        <v>33</v>
      </c>
      <c r="F13" s="34"/>
      <c r="G13" s="42">
        <v>18238.099999999999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134229</v>
      </c>
      <c r="D15" s="34"/>
      <c r="E15" s="35" t="s">
        <v>10</v>
      </c>
      <c r="F15" s="34"/>
      <c r="G15" s="42">
        <v>7502.7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4719</v>
      </c>
      <c r="D17" s="34"/>
      <c r="E17" s="35" t="s">
        <v>278</v>
      </c>
      <c r="F17" s="34"/>
      <c r="G17" s="42">
        <v>2714.18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20" activePane="bottomLeft" state="frozen"/>
      <selection pane="bottomLeft" activeCell="A140" sqref="A14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883" customWidth="1"/>
    <col min="5" max="5" width="12.5703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10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880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881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1668</v>
      </c>
      <c r="D3" s="882"/>
      <c r="E3" s="763"/>
      <c r="F3" s="620">
        <v>862.3</v>
      </c>
      <c r="G3" s="763">
        <v>1943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1656</v>
      </c>
      <c r="D4" s="883"/>
      <c r="E4" s="757"/>
      <c r="F4" s="544">
        <v>179.25</v>
      </c>
      <c r="G4" s="757">
        <v>305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1659</v>
      </c>
      <c r="D5" s="882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1660</v>
      </c>
      <c r="D6" s="883"/>
      <c r="E6" s="757"/>
      <c r="F6" s="544">
        <v>113.08</v>
      </c>
      <c r="G6" s="757">
        <v>145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1656</v>
      </c>
      <c r="D7" s="883"/>
      <c r="E7" s="757"/>
      <c r="F7" s="544">
        <v>91.66</v>
      </c>
      <c r="G7" s="757">
        <v>105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1656</v>
      </c>
      <c r="D8" s="883"/>
      <c r="E8" s="757"/>
      <c r="F8" s="544">
        <v>72.47</v>
      </c>
      <c r="G8" s="757">
        <v>58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1657</v>
      </c>
      <c r="D9" s="883"/>
      <c r="E9" s="757"/>
      <c r="F9" s="544">
        <v>212.71</v>
      </c>
      <c r="G9" s="757">
        <v>382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1656</v>
      </c>
      <c r="D10" s="883"/>
      <c r="E10" s="757"/>
      <c r="F10" s="544">
        <v>154.99</v>
      </c>
      <c r="G10" s="757">
        <v>247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1657</v>
      </c>
      <c r="D11" s="883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1668</v>
      </c>
      <c r="D12" s="883"/>
      <c r="E12" s="757"/>
      <c r="F12" s="544">
        <v>49.82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883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1656</v>
      </c>
      <c r="D14" s="883"/>
      <c r="E14" s="757"/>
      <c r="F14" s="544">
        <v>206.06</v>
      </c>
      <c r="G14" s="757">
        <v>368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1660</v>
      </c>
      <c r="D15" s="883"/>
      <c r="E15" s="757"/>
      <c r="F15" s="544">
        <v>40.479999999999997</v>
      </c>
      <c r="G15" s="757">
        <v>48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1660</v>
      </c>
      <c r="D16" s="883"/>
      <c r="E16" s="757"/>
      <c r="F16" s="544">
        <v>219.27</v>
      </c>
      <c r="G16" s="757">
        <v>399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1660</v>
      </c>
      <c r="D17" s="883"/>
      <c r="E17" s="757"/>
      <c r="F17" s="544">
        <v>45.91</v>
      </c>
      <c r="G17" s="757">
        <v>37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1660</v>
      </c>
      <c r="D18" s="883"/>
      <c r="E18" s="757"/>
      <c r="F18" s="544">
        <v>66.88</v>
      </c>
      <c r="G18" s="757">
        <v>36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84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1669</v>
      </c>
      <c r="D20" s="885">
        <v>240.14</v>
      </c>
      <c r="E20" s="618">
        <v>2613</v>
      </c>
      <c r="F20" s="61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885">
        <v>0</v>
      </c>
      <c r="E21" s="618">
        <v>0</v>
      </c>
      <c r="F21" s="61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885">
        <v>19.72</v>
      </c>
      <c r="E22" s="618">
        <v>172</v>
      </c>
      <c r="F22" s="61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885">
        <v>17.27</v>
      </c>
      <c r="E23" s="618">
        <v>150</v>
      </c>
      <c r="F23" s="61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885">
        <v>81.400000000000006</v>
      </c>
      <c r="E24" s="618">
        <v>1064</v>
      </c>
      <c r="F24" s="61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885">
        <v>250.6</v>
      </c>
      <c r="E25" s="618">
        <v>2120</v>
      </c>
      <c r="F25" s="61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885">
        <v>13.64</v>
      </c>
      <c r="E26" s="618">
        <v>80</v>
      </c>
      <c r="F26" s="61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885">
        <v>66.430000000000007</v>
      </c>
      <c r="E27" s="618">
        <v>846</v>
      </c>
      <c r="F27" s="61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885">
        <v>17.62</v>
      </c>
      <c r="E28" s="618">
        <v>150</v>
      </c>
      <c r="F28" s="61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885">
        <v>16.97</v>
      </c>
      <c r="E29" s="618">
        <v>126</v>
      </c>
      <c r="F29" s="61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885">
        <v>187.47</v>
      </c>
      <c r="E30" s="618">
        <v>1251</v>
      </c>
      <c r="F30" s="61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885">
        <v>584.46</v>
      </c>
      <c r="E31" s="618">
        <v>8280</v>
      </c>
      <c r="F31" s="61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885">
        <v>17.62</v>
      </c>
      <c r="E32" s="618">
        <v>150</v>
      </c>
      <c r="F32" s="61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885">
        <v>22.21</v>
      </c>
      <c r="E33" s="618">
        <v>160</v>
      </c>
      <c r="F33" s="61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885">
        <v>211.96</v>
      </c>
      <c r="E34" s="618">
        <v>1444</v>
      </c>
      <c r="F34" s="61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885">
        <v>10.92</v>
      </c>
      <c r="E35" s="618">
        <v>70</v>
      </c>
      <c r="F35" s="61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885">
        <v>95</v>
      </c>
      <c r="E36" s="618">
        <v>1262</v>
      </c>
      <c r="F36" s="618"/>
      <c r="G36" s="547"/>
      <c r="H36" s="618"/>
      <c r="I36" s="547"/>
      <c r="J36" s="546"/>
      <c r="K36" s="546" t="s">
        <v>826</v>
      </c>
      <c r="L36" s="546"/>
    </row>
    <row r="37" spans="1:12" s="570" customFormat="1" ht="14.25" customHeight="1" x14ac:dyDescent="0.25">
      <c r="A37" s="568" t="s">
        <v>1670</v>
      </c>
      <c r="B37" s="568" t="s">
        <v>1671</v>
      </c>
      <c r="C37" s="568"/>
      <c r="D37" s="886">
        <v>12</v>
      </c>
      <c r="E37" s="573">
        <v>84</v>
      </c>
      <c r="F37" s="573"/>
      <c r="G37" s="569"/>
      <c r="H37" s="573"/>
      <c r="I37" s="569"/>
      <c r="J37" s="568"/>
      <c r="K37" s="568">
        <v>1.0443720000663699E+17</v>
      </c>
      <c r="L37" s="568"/>
    </row>
    <row r="38" spans="1:12" s="570" customFormat="1" ht="14.25" customHeight="1" x14ac:dyDescent="0.25">
      <c r="A38" s="568" t="s">
        <v>1580</v>
      </c>
      <c r="B38" s="568" t="s">
        <v>1581</v>
      </c>
      <c r="C38" s="568"/>
      <c r="D38" s="886">
        <v>3482.13</v>
      </c>
      <c r="E38" s="573">
        <v>58900</v>
      </c>
      <c r="F38" s="573"/>
      <c r="G38" s="569"/>
      <c r="H38" s="573"/>
      <c r="I38" s="569"/>
      <c r="J38" s="568"/>
      <c r="K38" s="568"/>
      <c r="L38" s="568"/>
    </row>
    <row r="39" spans="1:12" s="570" customFormat="1" ht="14.25" customHeight="1" x14ac:dyDescent="0.25">
      <c r="A39" s="568" t="s">
        <v>1672</v>
      </c>
      <c r="B39" s="568" t="s">
        <v>1583</v>
      </c>
      <c r="C39" s="568"/>
      <c r="D39" s="886">
        <v>119.33</v>
      </c>
      <c r="E39" s="573">
        <v>1616</v>
      </c>
      <c r="F39" s="573"/>
      <c r="G39" s="569"/>
      <c r="H39" s="573"/>
      <c r="I39" s="569"/>
      <c r="J39" s="568"/>
      <c r="K39" s="568"/>
      <c r="L39" s="568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885">
        <v>55.79</v>
      </c>
      <c r="E40" s="618">
        <v>300</v>
      </c>
      <c r="F40" s="61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885">
        <v>20.170000000000002</v>
      </c>
      <c r="E41" s="618">
        <v>140</v>
      </c>
      <c r="F41" s="61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885">
        <v>17.62</v>
      </c>
      <c r="E42" s="618">
        <v>150</v>
      </c>
      <c r="F42" s="61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885">
        <v>13.64</v>
      </c>
      <c r="E43" s="618">
        <v>80</v>
      </c>
      <c r="F43" s="61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885">
        <v>824.41</v>
      </c>
      <c r="E44" s="618">
        <v>9780</v>
      </c>
      <c r="F44" s="61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885">
        <v>10.92</v>
      </c>
      <c r="E45" s="618">
        <v>70</v>
      </c>
      <c r="F45" s="61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885">
        <v>88.77</v>
      </c>
      <c r="E46" s="618">
        <v>1171</v>
      </c>
      <c r="F46" s="61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885">
        <v>107.35</v>
      </c>
      <c r="E47" s="618">
        <v>770</v>
      </c>
      <c r="F47" s="61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1673</v>
      </c>
      <c r="B48" s="546" t="s">
        <v>1674</v>
      </c>
      <c r="C48" s="546"/>
      <c r="D48" s="885">
        <v>7.34</v>
      </c>
      <c r="E48" s="618">
        <v>0</v>
      </c>
      <c r="F48" s="61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885">
        <v>78.459999999999994</v>
      </c>
      <c r="E49" s="618">
        <v>1021</v>
      </c>
      <c r="F49" s="61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885">
        <v>235.16</v>
      </c>
      <c r="E50" s="618">
        <v>1871</v>
      </c>
      <c r="F50" s="61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885">
        <v>8.9</v>
      </c>
      <c r="E51" s="618">
        <v>9</v>
      </c>
      <c r="F51" s="61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885">
        <v>253.36</v>
      </c>
      <c r="E52" s="618">
        <v>2845</v>
      </c>
      <c r="F52" s="61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885">
        <v>65.900000000000006</v>
      </c>
      <c r="E53" s="618">
        <v>868</v>
      </c>
      <c r="F53" s="61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885">
        <v>893.65</v>
      </c>
      <c r="E54" s="618">
        <v>11880</v>
      </c>
      <c r="F54" s="61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885">
        <v>57.62</v>
      </c>
      <c r="E55" s="618">
        <v>735</v>
      </c>
      <c r="F55" s="61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885">
        <v>59.25</v>
      </c>
      <c r="E56" s="618">
        <v>39</v>
      </c>
      <c r="F56" s="61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885">
        <v>1340.34</v>
      </c>
      <c r="E57" s="618">
        <v>11550</v>
      </c>
      <c r="F57" s="61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885">
        <v>505.2</v>
      </c>
      <c r="E58" s="618">
        <v>3000</v>
      </c>
      <c r="F58" s="61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885">
        <v>138.91999999999999</v>
      </c>
      <c r="E59" s="618">
        <v>80</v>
      </c>
      <c r="F59" s="61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885">
        <v>321.32</v>
      </c>
      <c r="E60" s="618">
        <v>1400</v>
      </c>
      <c r="F60" s="61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885">
        <v>795.5</v>
      </c>
      <c r="E61" s="618">
        <v>4560</v>
      </c>
      <c r="F61" s="61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885">
        <v>177.01</v>
      </c>
      <c r="E62" s="618">
        <v>600</v>
      </c>
      <c r="F62" s="61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885">
        <v>8.1300000000000008</v>
      </c>
      <c r="E63" s="618">
        <v>0</v>
      </c>
      <c r="F63" s="61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885">
        <v>10.78</v>
      </c>
      <c r="E64" s="618">
        <v>42</v>
      </c>
      <c r="F64" s="61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885">
        <v>539.03</v>
      </c>
      <c r="E65" s="618">
        <v>7695</v>
      </c>
      <c r="F65" s="61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885">
        <v>98.55</v>
      </c>
      <c r="E66" s="618">
        <v>480</v>
      </c>
      <c r="F66" s="61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885">
        <v>281.87</v>
      </c>
      <c r="E67" s="618">
        <v>2387</v>
      </c>
      <c r="F67" s="61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881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1661</v>
      </c>
      <c r="D69" s="883">
        <v>197</v>
      </c>
      <c r="E69" s="757">
        <v>1835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1661</v>
      </c>
      <c r="D70" s="883">
        <v>180</v>
      </c>
      <c r="E70" s="757">
        <v>1415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>
        <v>43889</v>
      </c>
      <c r="D71" s="883">
        <v>102</v>
      </c>
      <c r="E71" s="757">
        <v>533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1661</v>
      </c>
      <c r="D72" s="883">
        <v>46</v>
      </c>
      <c r="E72" s="757">
        <v>133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1661</v>
      </c>
      <c r="D73" s="883">
        <v>43</v>
      </c>
      <c r="E73" s="757">
        <v>91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1661</v>
      </c>
      <c r="D74" s="883">
        <v>291</v>
      </c>
      <c r="E74" s="757">
        <v>2671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1661</v>
      </c>
      <c r="D75" s="883">
        <v>137</v>
      </c>
      <c r="E75" s="757">
        <v>1245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1661</v>
      </c>
      <c r="D76" s="883">
        <v>59</v>
      </c>
      <c r="E76" s="757">
        <v>279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1661</v>
      </c>
      <c r="D77" s="883">
        <v>70</v>
      </c>
      <c r="E77" s="757">
        <v>173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1661</v>
      </c>
      <c r="D78" s="883">
        <v>35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1661</v>
      </c>
      <c r="D79" s="883">
        <v>35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1661</v>
      </c>
      <c r="D80" s="883">
        <v>55.25</v>
      </c>
      <c r="E80" s="757">
        <v>14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1661</v>
      </c>
      <c r="D81" s="882">
        <v>58</v>
      </c>
      <c r="E81" s="763">
        <v>103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1661</v>
      </c>
      <c r="D82" s="883">
        <v>1373</v>
      </c>
      <c r="E82" s="757">
        <v>15000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 t="s">
        <v>1661</v>
      </c>
      <c r="D83" s="883">
        <v>93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1661</v>
      </c>
      <c r="D84" s="883">
        <v>34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1661</v>
      </c>
      <c r="D85" s="883">
        <v>40</v>
      </c>
      <c r="E85" s="757">
        <v>0.44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1661</v>
      </c>
      <c r="D86" s="883">
        <v>432</v>
      </c>
      <c r="E86" s="757">
        <v>3300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1661</v>
      </c>
      <c r="D87" s="883">
        <v>405</v>
      </c>
      <c r="E87" s="757">
        <v>3600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/>
      <c r="D88" s="883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1663</v>
      </c>
      <c r="D89" s="887">
        <v>266</v>
      </c>
      <c r="E89" s="771">
        <v>20.6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/>
      <c r="D90" s="883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 t="s">
        <v>1662</v>
      </c>
      <c r="D91" s="883">
        <v>54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1661</v>
      </c>
      <c r="D92" s="883">
        <v>84</v>
      </c>
      <c r="E92" s="757">
        <v>357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1661</v>
      </c>
      <c r="D93" s="883">
        <v>106</v>
      </c>
      <c r="E93" s="757">
        <v>803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1661</v>
      </c>
      <c r="D94" s="883">
        <v>1463</v>
      </c>
      <c r="E94" s="757">
        <v>13680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1661</v>
      </c>
      <c r="D95" s="883">
        <v>98</v>
      </c>
      <c r="E95" s="757">
        <v>493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881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1666</v>
      </c>
      <c r="B97" s="681" t="s">
        <v>163</v>
      </c>
      <c r="C97" s="245" t="s">
        <v>1665</v>
      </c>
      <c r="D97" s="883"/>
      <c r="E97" s="757"/>
      <c r="F97" s="544"/>
      <c r="G97" s="757"/>
      <c r="H97" s="269">
        <v>92.4</v>
      </c>
      <c r="I97" s="757">
        <v>116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1665</v>
      </c>
      <c r="D98" s="883"/>
      <c r="E98" s="757"/>
      <c r="F98" s="544"/>
      <c r="G98" s="757"/>
      <c r="H98" s="269">
        <v>93.7</v>
      </c>
      <c r="I98" s="757">
        <v>118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1665</v>
      </c>
      <c r="D99" s="883"/>
      <c r="E99" s="757"/>
      <c r="F99" s="544"/>
      <c r="G99" s="757"/>
      <c r="H99" s="269">
        <v>39.299999999999997</v>
      </c>
      <c r="I99" s="757">
        <v>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1665</v>
      </c>
      <c r="D100" s="883"/>
      <c r="E100" s="757"/>
      <c r="F100" s="544"/>
      <c r="G100" s="757"/>
      <c r="H100" s="269">
        <v>39.299999999999997</v>
      </c>
      <c r="I100" s="757">
        <v>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1665</v>
      </c>
      <c r="D101" s="883"/>
      <c r="E101" s="757"/>
      <c r="F101" s="544"/>
      <c r="G101" s="757"/>
      <c r="H101" s="269">
        <v>44.11</v>
      </c>
      <c r="I101" s="757">
        <v>29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1665</v>
      </c>
      <c r="D102" s="883"/>
      <c r="E102" s="757"/>
      <c r="F102" s="544"/>
      <c r="G102" s="757"/>
      <c r="H102" s="269">
        <v>39.299999999999997</v>
      </c>
      <c r="I102" s="757">
        <v>20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1665</v>
      </c>
      <c r="D103" s="883"/>
      <c r="E103" s="757"/>
      <c r="F103" s="544"/>
      <c r="G103" s="757"/>
      <c r="H103" s="269">
        <v>47.84</v>
      </c>
      <c r="I103" s="757">
        <v>36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1665</v>
      </c>
      <c r="D104" s="883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1665</v>
      </c>
      <c r="D105" s="883"/>
      <c r="E105" s="757"/>
      <c r="F105" s="544"/>
      <c r="G105" s="757"/>
      <c r="H105" s="269">
        <v>44.64</v>
      </c>
      <c r="I105" s="757">
        <v>30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1665</v>
      </c>
      <c r="D106" s="883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1665</v>
      </c>
      <c r="D107" s="883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1665</v>
      </c>
      <c r="D108" s="888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1665</v>
      </c>
      <c r="D109" s="883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1665</v>
      </c>
      <c r="D110" s="883"/>
      <c r="E110" s="757"/>
      <c r="F110" s="544"/>
      <c r="G110" s="757"/>
      <c r="H110" s="269">
        <v>39.299999999999997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1665</v>
      </c>
      <c r="D111" s="883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1665</v>
      </c>
      <c r="D112" s="883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1665</v>
      </c>
      <c r="D113" s="883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1665</v>
      </c>
      <c r="D114" s="883"/>
      <c r="E114" s="757"/>
      <c r="F114" s="544"/>
      <c r="G114" s="757"/>
      <c r="H114" s="269">
        <v>39.299999999999997</v>
      </c>
      <c r="I114" s="757">
        <v>4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1665</v>
      </c>
      <c r="D115" s="883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1665</v>
      </c>
      <c r="D116" s="883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1665</v>
      </c>
      <c r="D117" s="883"/>
      <c r="E117" s="757"/>
      <c r="F117" s="544"/>
      <c r="G117" s="757"/>
      <c r="H117" s="269">
        <v>39.299999999999997</v>
      </c>
      <c r="I117" s="757">
        <v>3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1665</v>
      </c>
      <c r="D118" s="883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1665</v>
      </c>
      <c r="D119" s="883"/>
      <c r="E119" s="757"/>
      <c r="F119" s="544"/>
      <c r="G119" s="757"/>
      <c r="H119" s="269">
        <v>39.299999999999997</v>
      </c>
      <c r="I119" s="757">
        <v>5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1665</v>
      </c>
      <c r="D120" s="883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1665</v>
      </c>
      <c r="D121" s="883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1665</v>
      </c>
      <c r="D122" s="883"/>
      <c r="E122" s="757"/>
      <c r="F122" s="544"/>
      <c r="G122" s="757"/>
      <c r="H122" s="269">
        <v>39.299999999999997</v>
      </c>
      <c r="I122" s="757">
        <v>2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1665</v>
      </c>
      <c r="D123" s="883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1665</v>
      </c>
      <c r="D124" s="883"/>
      <c r="E124" s="757"/>
      <c r="F124" s="544"/>
      <c r="G124" s="757"/>
      <c r="H124" s="269">
        <v>294.93</v>
      </c>
      <c r="I124" s="757">
        <v>277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1665</v>
      </c>
      <c r="D125" s="883"/>
      <c r="E125" s="757"/>
      <c r="F125" s="544"/>
      <c r="G125" s="757"/>
      <c r="H125" s="269">
        <v>41.97</v>
      </c>
      <c r="I125" s="757">
        <v>25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1665</v>
      </c>
      <c r="D126" s="883"/>
      <c r="E126" s="757"/>
      <c r="F126" s="544"/>
      <c r="G126" s="757"/>
      <c r="H126" s="269">
        <v>39.299999999999997</v>
      </c>
      <c r="I126" s="757">
        <v>12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1665</v>
      </c>
      <c r="D127" s="883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1667</v>
      </c>
      <c r="D128" s="883"/>
      <c r="E128" s="757"/>
      <c r="F128" s="544"/>
      <c r="G128" s="757"/>
      <c r="H128" s="269">
        <v>39.299999999999997</v>
      </c>
      <c r="I128" s="757">
        <v>16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883"/>
      <c r="E129" s="757"/>
      <c r="F129" s="544"/>
      <c r="G129" s="757"/>
      <c r="H129" s="269">
        <v>145.21</v>
      </c>
      <c r="I129" s="757">
        <v>125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1667</v>
      </c>
      <c r="D130" s="883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/>
      <c r="D131" s="883"/>
      <c r="E131" s="757"/>
      <c r="F131" s="544"/>
      <c r="G131" s="757"/>
      <c r="H131" s="269">
        <v>60.51</v>
      </c>
      <c r="I131" s="757">
        <v>68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1654</v>
      </c>
      <c r="D132" s="269"/>
      <c r="E132" s="757"/>
      <c r="F132" s="544"/>
      <c r="G132" s="757"/>
      <c r="H132" s="269">
        <v>4397.3</v>
      </c>
      <c r="I132" s="757">
        <v>5775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1654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1654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1654</v>
      </c>
      <c r="D135" s="269"/>
      <c r="E135" s="757"/>
      <c r="F135" s="544"/>
      <c r="G135" s="757"/>
      <c r="H135" s="269">
        <v>54.79</v>
      </c>
      <c r="I135" s="757">
        <v>49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1654</v>
      </c>
      <c r="D136" s="269"/>
      <c r="E136" s="757"/>
      <c r="F136" s="544"/>
      <c r="G136" s="757"/>
      <c r="H136" s="269">
        <v>102.79</v>
      </c>
      <c r="I136" s="757">
        <v>132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1654</v>
      </c>
      <c r="D137" s="269"/>
      <c r="E137" s="757"/>
      <c r="F137" s="544"/>
      <c r="G137" s="757"/>
      <c r="H137" s="269">
        <v>64.930000000000007</v>
      </c>
      <c r="I137" s="757">
        <v>68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1654</v>
      </c>
      <c r="D138" s="269"/>
      <c r="E138" s="757"/>
      <c r="F138" s="544"/>
      <c r="G138" s="757"/>
      <c r="H138" s="269">
        <v>62.8</v>
      </c>
      <c r="I138" s="757">
        <v>64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881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1661</v>
      </c>
      <c r="D140" s="883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1661</v>
      </c>
      <c r="D141" s="883"/>
      <c r="E141" s="757"/>
      <c r="F141" s="544"/>
      <c r="G141" s="757"/>
      <c r="H141" s="269">
        <v>50</v>
      </c>
      <c r="I141" s="757">
        <v>800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881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43930</v>
      </c>
      <c r="D143" s="883"/>
      <c r="E143" s="757"/>
      <c r="F143" s="544"/>
      <c r="G143" s="757"/>
      <c r="H143" s="269">
        <v>35.18</v>
      </c>
      <c r="I143" s="757">
        <v>30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881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1661</v>
      </c>
      <c r="D145" s="883"/>
      <c r="E145" s="757"/>
      <c r="F145" s="544"/>
      <c r="G145" s="757"/>
      <c r="H145" s="269">
        <v>719.2</v>
      </c>
      <c r="I145" s="757">
        <v>126400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881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883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889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883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883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883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883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883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883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883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883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883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883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883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883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883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883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883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883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883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883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883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883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883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883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883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883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883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883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883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883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883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883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883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883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883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883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883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883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883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883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883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883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883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883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883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883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883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883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883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883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883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883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883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883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883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883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883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883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883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883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883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883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883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883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883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883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883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883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883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883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883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883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883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883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883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883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883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883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883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883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883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883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883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883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883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883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883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883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883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883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883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883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883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883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883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883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883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883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883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883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883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883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883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883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883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883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883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883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883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883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20" sqref="I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1664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77"/>
      <c r="B4" s="878"/>
      <c r="C4" s="878"/>
      <c r="D4" s="878"/>
      <c r="E4" s="878"/>
      <c r="F4" s="878"/>
      <c r="G4" s="87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199763.86</v>
      </c>
      <c r="D13" s="34"/>
      <c r="E13" s="35" t="s">
        <v>33</v>
      </c>
      <c r="F13" s="34"/>
      <c r="G13" s="42">
        <v>18516.97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292217</v>
      </c>
      <c r="D15" s="34"/>
      <c r="E15" s="35" t="s">
        <v>10</v>
      </c>
      <c r="F15" s="34"/>
      <c r="G15" s="42">
        <v>6009.93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280736</v>
      </c>
      <c r="D17" s="34"/>
      <c r="E17" s="35" t="s">
        <v>278</v>
      </c>
      <c r="F17" s="34"/>
      <c r="G17" s="42">
        <v>6814.15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1" activePane="bottomLeft" state="frozen"/>
      <selection pane="bottomLeft" activeCell="D19" sqref="D1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2184</v>
      </c>
      <c r="D3" s="328"/>
      <c r="E3" s="763"/>
      <c r="F3" s="620">
        <v>721.23</v>
      </c>
      <c r="G3" s="763">
        <v>883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2187</v>
      </c>
      <c r="D4" s="269"/>
      <c r="E4" s="757"/>
      <c r="F4" s="544">
        <v>78.37</v>
      </c>
      <c r="G4" s="75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2183</v>
      </c>
      <c r="D5" s="328"/>
      <c r="E5" s="763"/>
      <c r="F5" s="620">
        <v>86.51</v>
      </c>
      <c r="G5" s="763">
        <v>25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2191</v>
      </c>
      <c r="D6" s="269"/>
      <c r="E6" s="757"/>
      <c r="F6" s="544">
        <v>82.07</v>
      </c>
      <c r="G6" s="757">
        <v>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2186</v>
      </c>
      <c r="D7" s="269"/>
      <c r="E7" s="757"/>
      <c r="F7" s="544">
        <v>103.93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2187</v>
      </c>
      <c r="D8" s="269"/>
      <c r="E8" s="757"/>
      <c r="F8" s="544">
        <v>82.8</v>
      </c>
      <c r="G8" s="757">
        <v>20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2189</v>
      </c>
      <c r="D9" s="269"/>
      <c r="E9" s="757"/>
      <c r="F9" s="544">
        <v>93.9</v>
      </c>
      <c r="G9" s="757">
        <v>35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2187</v>
      </c>
      <c r="D10" s="269"/>
      <c r="E10" s="757"/>
      <c r="F10" s="544">
        <v>92.84</v>
      </c>
      <c r="G10" s="757">
        <v>24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2184</v>
      </c>
      <c r="D11" s="269"/>
      <c r="E11" s="757"/>
      <c r="F11" s="544">
        <v>105.23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2187</v>
      </c>
      <c r="D12" s="269"/>
      <c r="E12" s="757"/>
      <c r="F12" s="544">
        <v>68.010000000000005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2187</v>
      </c>
      <c r="D13" s="269"/>
      <c r="E13" s="757"/>
      <c r="F13" s="544">
        <v>81.319999999999993</v>
      </c>
      <c r="G13" s="757">
        <v>18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2191</v>
      </c>
      <c r="D14" s="269"/>
      <c r="E14" s="757"/>
      <c r="F14" s="544">
        <v>70.98</v>
      </c>
      <c r="G14" s="757">
        <v>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2187</v>
      </c>
      <c r="D15" s="269"/>
      <c r="E15" s="757"/>
      <c r="F15" s="544">
        <v>0.54</v>
      </c>
      <c r="G15" s="757">
        <v>54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2192</v>
      </c>
      <c r="D16" s="269"/>
      <c r="E16" s="757"/>
      <c r="F16" s="544">
        <v>37.61</v>
      </c>
      <c r="G16" s="757">
        <v>12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2192</v>
      </c>
      <c r="D17" s="269"/>
      <c r="E17" s="757"/>
      <c r="F17" s="544">
        <v>68.010000000000005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4">
        <v>278.67</v>
      </c>
      <c r="E19" s="1063">
        <v>3725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4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4">
        <v>134.08000000000001</v>
      </c>
      <c r="E21" s="1063">
        <v>1798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4">
        <v>17.04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4">
        <v>88.45</v>
      </c>
      <c r="E23" s="1063">
        <v>1123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4">
        <v>1169.08</v>
      </c>
      <c r="E24" s="1063">
        <v>15450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4">
        <v>13.47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4">
        <v>90.04</v>
      </c>
      <c r="E26" s="1063">
        <v>1153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4">
        <v>17.440000000000001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4">
        <v>17.100000000000001</v>
      </c>
      <c r="E28" s="546">
        <v>140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4">
        <v>327.04000000000002</v>
      </c>
      <c r="E29" s="1063">
        <v>3873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4">
        <v>723.26</v>
      </c>
      <c r="E30" s="1063">
        <v>9752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4">
        <v>17.39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4">
        <v>21.93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4">
        <v>641.46</v>
      </c>
      <c r="E33" s="1063">
        <v>8469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4">
        <v>10.78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4">
        <v>164.36</v>
      </c>
      <c r="E35" s="546">
        <v>496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4">
        <v>15.51</v>
      </c>
      <c r="E36" s="546">
        <v>117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4">
        <v>5104.6400000000003</v>
      </c>
      <c r="E37" s="1063">
        <v>87175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4">
        <v>21.1</v>
      </c>
      <c r="E38" s="546">
        <v>197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4">
        <v>353.5</v>
      </c>
      <c r="E39" s="546">
        <v>327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4">
        <v>19.91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4">
        <v>14.7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4">
        <v>17.559999999999999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4">
        <v>1828.24</v>
      </c>
      <c r="E43" s="1063">
        <v>24685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4">
        <v>10.78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4">
        <v>8.49</v>
      </c>
      <c r="E45" s="546">
        <v>20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4">
        <v>106.26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4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4">
        <v>115.4</v>
      </c>
      <c r="E48" s="1063">
        <v>1523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4">
        <v>340.43</v>
      </c>
      <c r="E49" s="1063">
        <v>3433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4">
        <v>10.97</v>
      </c>
      <c r="E50" s="546">
        <v>54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4">
        <v>445.27</v>
      </c>
      <c r="E51" s="1063">
        <v>5961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4">
        <v>240.58</v>
      </c>
      <c r="E52" s="1063">
        <v>3019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4">
        <v>131.77000000000001</v>
      </c>
      <c r="E53" s="546">
        <v>450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4">
        <v>1482.63</v>
      </c>
      <c r="E54" s="1063">
        <v>21784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4">
        <v>6.94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4">
        <v>81.72</v>
      </c>
      <c r="E56" s="546">
        <v>51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4">
        <v>1219.1199999999999</v>
      </c>
      <c r="E57" s="1063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4">
        <v>449.73</v>
      </c>
      <c r="E58" s="1063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4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4">
        <v>291.29000000000002</v>
      </c>
      <c r="E60" s="1063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4">
        <v>206.97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20">
        <v>821.52</v>
      </c>
      <c r="E62" s="1063">
        <v>4400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4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620">
        <v>54</v>
      </c>
      <c r="E64" s="546">
        <v>189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4">
        <v>1092.27</v>
      </c>
      <c r="E65" s="1063">
        <v>16916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4">
        <v>328.14</v>
      </c>
      <c r="E66" s="1063">
        <v>1542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4">
        <v>284.05</v>
      </c>
      <c r="E67" s="1063">
        <v>3378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2190</v>
      </c>
      <c r="D69" s="269">
        <v>467</v>
      </c>
      <c r="E69" s="757">
        <v>4277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172</v>
      </c>
      <c r="E70" s="757">
        <v>1123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96</v>
      </c>
      <c r="E71" s="757">
        <v>361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57</v>
      </c>
      <c r="E72" s="757">
        <v>170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40</v>
      </c>
      <c r="E73" s="757">
        <v>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280</v>
      </c>
      <c r="E74" s="757">
        <v>2207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194</v>
      </c>
      <c r="E75" s="757">
        <v>1604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102</v>
      </c>
      <c r="E76" s="757">
        <v>614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110</v>
      </c>
      <c r="E77" s="757">
        <v>500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48</v>
      </c>
      <c r="E79" s="757">
        <v>74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77</v>
      </c>
      <c r="E80" s="757">
        <v>164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1813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100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295</v>
      </c>
      <c r="E85" s="757">
        <v>1500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241</v>
      </c>
      <c r="E86" s="757">
        <v>1560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286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213</v>
      </c>
      <c r="E88" s="757">
        <v>924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579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100</v>
      </c>
      <c r="E91" s="757">
        <v>594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222.95</v>
      </c>
      <c r="E92" s="757">
        <v>1635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2383</v>
      </c>
      <c r="E93" s="757">
        <v>28080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261</v>
      </c>
      <c r="E94" s="757">
        <v>2011</v>
      </c>
      <c r="F94" s="544"/>
      <c r="G94" s="757"/>
      <c r="H94" s="269"/>
      <c r="I94" s="757"/>
      <c r="J94" s="245" t="s">
        <v>33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98.25</v>
      </c>
      <c r="I96" s="757">
        <v>125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316.02</v>
      </c>
      <c r="I97" s="757">
        <v>440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40.9</v>
      </c>
      <c r="I98" s="757">
        <v>23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68.67</v>
      </c>
      <c r="I100" s="757">
        <v>75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49.45</v>
      </c>
      <c r="I101" s="757">
        <v>39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70.81</v>
      </c>
      <c r="I102" s="757">
        <v>79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4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85.27</v>
      </c>
      <c r="I105" s="757">
        <v>105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681" t="s">
        <v>177</v>
      </c>
      <c r="C107" s="774"/>
      <c r="D107" s="242"/>
      <c r="E107" s="749"/>
      <c r="F107" s="542"/>
      <c r="G107" s="749"/>
      <c r="H107" s="269">
        <v>39.299999999999997</v>
      </c>
      <c r="I107" s="757">
        <v>10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211.89</v>
      </c>
      <c r="I108" s="757">
        <v>296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1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17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5286.23</v>
      </c>
      <c r="I115" s="757">
        <v>6937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462.9</v>
      </c>
      <c r="I116" s="757">
        <v>632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16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92.4</v>
      </c>
      <c r="I118" s="757">
        <v>116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11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271.27999999999997</v>
      </c>
      <c r="I120" s="757">
        <v>380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434.6</v>
      </c>
      <c r="I122" s="757">
        <v>595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6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46.78</v>
      </c>
      <c r="I124" s="757">
        <v>34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2182</v>
      </c>
      <c r="D127" s="269"/>
      <c r="E127" s="757"/>
      <c r="F127" s="544"/>
      <c r="G127" s="757"/>
      <c r="H127" s="269">
        <v>238.76</v>
      </c>
      <c r="I127" s="757">
        <v>334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206.94</v>
      </c>
      <c r="I128" s="757">
        <v>289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2182</v>
      </c>
      <c r="D129" s="269"/>
      <c r="E129" s="757"/>
      <c r="F129" s="544"/>
      <c r="G129" s="757"/>
      <c r="H129" s="269">
        <v>133.29</v>
      </c>
      <c r="I129" s="757">
        <v>179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2182</v>
      </c>
      <c r="D130" s="269"/>
      <c r="E130" s="757"/>
      <c r="F130" s="544"/>
      <c r="G130" s="757"/>
      <c r="H130" s="269">
        <v>49.45</v>
      </c>
      <c r="I130" s="757">
        <v>39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2182</v>
      </c>
      <c r="D131" s="269"/>
      <c r="E131" s="757"/>
      <c r="F131" s="544"/>
      <c r="G131" s="757"/>
      <c r="H131" s="269">
        <v>2539.11</v>
      </c>
      <c r="I131" s="757">
        <v>3346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2182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2182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2182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2182</v>
      </c>
      <c r="D135" s="269"/>
      <c r="E135" s="757"/>
      <c r="F135" s="544"/>
      <c r="G135" s="757"/>
      <c r="H135" s="269">
        <v>334.38</v>
      </c>
      <c r="I135" s="757">
        <v>464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2182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2182</v>
      </c>
      <c r="D137" s="269"/>
      <c r="E137" s="757"/>
      <c r="F137" s="544"/>
      <c r="G137" s="757"/>
      <c r="H137" s="269">
        <v>325.2</v>
      </c>
      <c r="I137" s="757">
        <v>452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2193</v>
      </c>
      <c r="D143" s="269"/>
      <c r="E143" s="757"/>
      <c r="F143" s="544"/>
      <c r="G143" s="757"/>
      <c r="H143" s="269">
        <v>35</v>
      </c>
      <c r="I143" s="757">
        <v>70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62"/>
  <sheetViews>
    <sheetView zoomScale="115" zoomScaleNormal="115" workbookViewId="0">
      <pane ySplit="2" topLeftCell="A9" activePane="bottomLeft" state="frozen"/>
      <selection pane="bottomLeft" activeCell="A22" sqref="A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1633</v>
      </c>
      <c r="D3" s="328"/>
      <c r="E3" s="763"/>
      <c r="F3" s="620"/>
      <c r="G3" s="763"/>
      <c r="H3" s="328">
        <v>1831.07</v>
      </c>
      <c r="I3" s="763">
        <v>3883</v>
      </c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1632</v>
      </c>
      <c r="D4" s="269"/>
      <c r="E4" s="757"/>
      <c r="F4" s="544"/>
      <c r="G4" s="757"/>
      <c r="H4" s="269">
        <v>424.83</v>
      </c>
      <c r="I4" s="757">
        <v>820</v>
      </c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1659</v>
      </c>
      <c r="D5" s="328"/>
      <c r="E5" s="763"/>
      <c r="F5" s="620"/>
      <c r="G5" s="763"/>
      <c r="H5" s="328">
        <v>178.71</v>
      </c>
      <c r="I5" s="763">
        <v>300</v>
      </c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1635</v>
      </c>
      <c r="D6" s="269"/>
      <c r="E6" s="757"/>
      <c r="F6" s="544"/>
      <c r="G6" s="757"/>
      <c r="H6" s="269">
        <v>246.91</v>
      </c>
      <c r="I6" s="757">
        <v>437</v>
      </c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1633</v>
      </c>
      <c r="D7" s="269"/>
      <c r="E7" s="757"/>
      <c r="F7" s="544"/>
      <c r="G7" s="757"/>
      <c r="H7" s="269">
        <v>134.38999999999999</v>
      </c>
      <c r="I7" s="757">
        <v>196</v>
      </c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1634</v>
      </c>
      <c r="D8" s="269"/>
      <c r="E8" s="757"/>
      <c r="F8" s="544"/>
      <c r="G8" s="757"/>
      <c r="H8" s="269">
        <v>101.59</v>
      </c>
      <c r="I8" s="757">
        <v>121</v>
      </c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1632</v>
      </c>
      <c r="D9" s="269"/>
      <c r="E9" s="757"/>
      <c r="F9" s="544"/>
      <c r="G9" s="757"/>
      <c r="H9" s="269">
        <v>477.01</v>
      </c>
      <c r="I9" s="757">
        <v>934</v>
      </c>
      <c r="J9" s="245" t="s">
        <v>10</v>
      </c>
      <c r="K9" s="245"/>
      <c r="L9" s="245"/>
    </row>
    <row r="10" spans="1:36" s="184" customFormat="1" x14ac:dyDescent="0.25">
      <c r="A10" s="695" t="s">
        <v>44</v>
      </c>
      <c r="B10" s="681">
        <v>3039640691</v>
      </c>
      <c r="C10" s="245" t="s">
        <v>1636</v>
      </c>
      <c r="D10" s="269"/>
      <c r="E10" s="757"/>
      <c r="F10" s="544"/>
      <c r="G10" s="757"/>
      <c r="H10" s="269">
        <v>678.79</v>
      </c>
      <c r="I10" s="757">
        <v>1382</v>
      </c>
      <c r="J10" s="245"/>
      <c r="K10" s="245"/>
      <c r="L10" s="245"/>
    </row>
    <row r="11" spans="1:36" s="184" customFormat="1" x14ac:dyDescent="0.25">
      <c r="A11" s="695" t="s">
        <v>43</v>
      </c>
      <c r="B11" s="681">
        <v>3039782225</v>
      </c>
      <c r="C11" s="245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ht="30" customHeight="1" x14ac:dyDescent="0.25">
      <c r="A12" s="826" t="s">
        <v>1386</v>
      </c>
      <c r="B12" s="681">
        <v>4031910475</v>
      </c>
      <c r="C12" s="245" t="s">
        <v>1658</v>
      </c>
      <c r="D12" s="269"/>
      <c r="E12" s="757"/>
      <c r="F12" s="544"/>
      <c r="G12" s="757"/>
      <c r="H12" s="269">
        <v>53.49</v>
      </c>
      <c r="I12" s="757">
        <v>0</v>
      </c>
      <c r="J12" s="245"/>
      <c r="K12" s="245"/>
      <c r="L12" s="245"/>
    </row>
    <row r="13" spans="1:36" s="184" customFormat="1" x14ac:dyDescent="0.25">
      <c r="A13" s="695" t="s">
        <v>610</v>
      </c>
      <c r="B13" s="681">
        <v>3039618715</v>
      </c>
      <c r="C13" s="363" t="s">
        <v>1634</v>
      </c>
      <c r="D13" s="269"/>
      <c r="E13" s="757"/>
      <c r="F13" s="544"/>
      <c r="G13" s="757"/>
      <c r="H13" s="269">
        <v>48.76</v>
      </c>
      <c r="I13" s="757">
        <v>0</v>
      </c>
      <c r="J13" s="245" t="s">
        <v>10</v>
      </c>
      <c r="K13" s="245"/>
      <c r="L13" s="245"/>
    </row>
    <row r="14" spans="1:36" s="184" customFormat="1" x14ac:dyDescent="0.25">
      <c r="A14" s="695" t="s">
        <v>46</v>
      </c>
      <c r="B14" s="681">
        <v>3023189549</v>
      </c>
      <c r="C14" s="245" t="s">
        <v>1632</v>
      </c>
      <c r="D14" s="269"/>
      <c r="E14" s="757"/>
      <c r="F14" s="544"/>
      <c r="G14" s="757"/>
      <c r="H14" s="269">
        <v>65.42</v>
      </c>
      <c r="I14" s="757">
        <v>35</v>
      </c>
      <c r="J14" s="245" t="s">
        <v>10</v>
      </c>
      <c r="K14" s="245"/>
      <c r="L14" s="245"/>
    </row>
    <row r="15" spans="1:36" s="184" customFormat="1" x14ac:dyDescent="0.25">
      <c r="A15" s="695" t="s">
        <v>47</v>
      </c>
      <c r="B15" s="681">
        <v>3034878837</v>
      </c>
      <c r="C15" s="245" t="s">
        <v>1632</v>
      </c>
      <c r="D15" s="269"/>
      <c r="E15" s="757"/>
      <c r="F15" s="544"/>
      <c r="G15" s="757"/>
      <c r="H15" s="269">
        <v>943.99</v>
      </c>
      <c r="I15" s="757">
        <v>1954</v>
      </c>
      <c r="J15" s="245" t="s">
        <v>10</v>
      </c>
      <c r="K15" s="245"/>
      <c r="L15" s="245"/>
    </row>
    <row r="16" spans="1:36" s="184" customFormat="1" x14ac:dyDescent="0.25">
      <c r="A16" s="695" t="s">
        <v>64</v>
      </c>
      <c r="B16" s="681">
        <v>3025670416</v>
      </c>
      <c r="C16" s="245" t="s">
        <v>1644</v>
      </c>
      <c r="D16" s="269"/>
      <c r="E16" s="757"/>
      <c r="F16" s="544"/>
      <c r="G16" s="757"/>
      <c r="H16" s="269">
        <v>129.4</v>
      </c>
      <c r="I16" s="757">
        <v>177</v>
      </c>
      <c r="J16" s="245" t="s">
        <v>10</v>
      </c>
      <c r="K16" s="245"/>
      <c r="L16" s="245"/>
    </row>
    <row r="17" spans="1:36" s="184" customFormat="1" x14ac:dyDescent="0.25">
      <c r="A17" s="695" t="s">
        <v>65</v>
      </c>
      <c r="B17" s="681">
        <v>3023110891</v>
      </c>
      <c r="C17" s="245" t="s">
        <v>1632</v>
      </c>
      <c r="D17" s="269"/>
      <c r="E17" s="757"/>
      <c r="F17" s="544"/>
      <c r="G17" s="757"/>
      <c r="H17" s="269">
        <v>477.01</v>
      </c>
      <c r="I17" s="757">
        <v>934</v>
      </c>
      <c r="J17" s="245" t="s">
        <v>10</v>
      </c>
      <c r="K17" s="245"/>
      <c r="L17" s="245"/>
    </row>
    <row r="18" spans="1:36" s="184" customFormat="1" x14ac:dyDescent="0.25">
      <c r="A18" s="695" t="s">
        <v>69</v>
      </c>
      <c r="B18" s="681">
        <v>3022125574</v>
      </c>
      <c r="C18" s="245" t="s">
        <v>1640</v>
      </c>
      <c r="D18" s="269"/>
      <c r="E18" s="757"/>
      <c r="F18" s="544"/>
      <c r="G18" s="757"/>
      <c r="H18" s="269">
        <v>105.23</v>
      </c>
      <c r="I18" s="757">
        <v>150</v>
      </c>
      <c r="J18" s="245" t="s">
        <v>10</v>
      </c>
      <c r="K18" s="245"/>
      <c r="L18" s="245"/>
    </row>
    <row r="19" spans="1:36" s="184" customFormat="1" x14ac:dyDescent="0.25">
      <c r="A19" s="695" t="s">
        <v>68</v>
      </c>
      <c r="B19" s="681">
        <v>3022125841</v>
      </c>
      <c r="C19" s="289" t="s">
        <v>1640</v>
      </c>
      <c r="D19" s="269"/>
      <c r="E19" s="757"/>
      <c r="F19" s="544"/>
      <c r="G19" s="757"/>
      <c r="H19" s="269">
        <v>113.33</v>
      </c>
      <c r="I19" s="757">
        <v>158</v>
      </c>
      <c r="J19" s="245" t="s">
        <v>10</v>
      </c>
      <c r="K19" s="245"/>
      <c r="L19" s="245"/>
    </row>
    <row r="20" spans="1:36" s="584" customFormat="1" ht="14.25" customHeight="1" x14ac:dyDescent="0.25">
      <c r="A20" s="696" t="s">
        <v>755</v>
      </c>
      <c r="B20" s="684"/>
      <c r="C20" s="554"/>
      <c r="D20" s="555"/>
      <c r="E20" s="753"/>
      <c r="F20" s="557"/>
      <c r="G20" s="753"/>
      <c r="H20" s="555"/>
      <c r="I20" s="753"/>
      <c r="J20" s="554"/>
      <c r="K20" s="554" t="s">
        <v>758</v>
      </c>
      <c r="L20" s="554" t="s">
        <v>760</v>
      </c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</row>
    <row r="21" spans="1:36" s="619" customFormat="1" ht="14.25" customHeight="1" x14ac:dyDescent="0.25">
      <c r="A21" s="837" t="s">
        <v>1467</v>
      </c>
      <c r="B21" s="838">
        <v>5219001475</v>
      </c>
      <c r="C21" s="839" t="s">
        <v>1640</v>
      </c>
      <c r="D21" s="840">
        <v>53.1</v>
      </c>
      <c r="E21" s="841">
        <v>145</v>
      </c>
      <c r="F21" s="842"/>
      <c r="G21" s="841"/>
      <c r="H21" s="840"/>
      <c r="I21" s="841"/>
      <c r="J21" s="839"/>
      <c r="K21" s="839" t="s">
        <v>1468</v>
      </c>
      <c r="L21" s="839">
        <v>5219001475</v>
      </c>
    </row>
    <row r="22" spans="1:36" s="619" customFormat="1" ht="15.75" x14ac:dyDescent="0.25">
      <c r="A22" s="686" t="s">
        <v>910</v>
      </c>
      <c r="B22" s="686">
        <v>5216007171</v>
      </c>
      <c r="C22" s="546" t="s">
        <v>1643</v>
      </c>
      <c r="D22" s="618">
        <v>8.1199999999999992</v>
      </c>
      <c r="E22" s="754">
        <v>0</v>
      </c>
      <c r="F22" s="548"/>
      <c r="G22" s="754"/>
      <c r="H22" s="618"/>
      <c r="I22" s="754"/>
      <c r="J22" s="546"/>
      <c r="K22" s="546"/>
      <c r="L22" s="546"/>
    </row>
    <row r="23" spans="1:36" s="619" customFormat="1" ht="15.75" x14ac:dyDescent="0.25">
      <c r="A23" s="686" t="s">
        <v>847</v>
      </c>
      <c r="B23" s="686">
        <v>5216007172</v>
      </c>
      <c r="C23" s="546" t="s">
        <v>1643</v>
      </c>
      <c r="D23" s="618">
        <v>14.72</v>
      </c>
      <c r="E23" s="754">
        <v>53</v>
      </c>
      <c r="F23" s="548"/>
      <c r="G23" s="754"/>
      <c r="H23" s="618"/>
      <c r="I23" s="754"/>
      <c r="J23" s="546"/>
      <c r="K23" s="546" t="s">
        <v>799</v>
      </c>
      <c r="L23" s="546">
        <v>5216006462</v>
      </c>
    </row>
    <row r="24" spans="1:36" s="619" customFormat="1" ht="15.75" x14ac:dyDescent="0.25">
      <c r="A24" s="686" t="s">
        <v>845</v>
      </c>
      <c r="B24" s="686">
        <v>5216006477</v>
      </c>
      <c r="C24" s="546" t="s">
        <v>1645</v>
      </c>
      <c r="D24" s="618">
        <v>14.71</v>
      </c>
      <c r="E24" s="754">
        <v>52</v>
      </c>
      <c r="F24" s="548"/>
      <c r="G24" s="754"/>
      <c r="H24" s="618"/>
      <c r="I24" s="754"/>
      <c r="J24" s="546"/>
      <c r="K24" s="546" t="s">
        <v>814</v>
      </c>
      <c r="L24" s="546">
        <v>5216006477</v>
      </c>
    </row>
    <row r="25" spans="1:36" s="619" customFormat="1" ht="15.75" x14ac:dyDescent="0.25">
      <c r="A25" s="686" t="s">
        <v>845</v>
      </c>
      <c r="B25" s="686">
        <v>5216006477</v>
      </c>
      <c r="C25" s="546" t="s">
        <v>1647</v>
      </c>
      <c r="D25" s="618">
        <v>16.36</v>
      </c>
      <c r="E25" s="754">
        <v>5</v>
      </c>
      <c r="F25" s="548" t="s">
        <v>1648</v>
      </c>
      <c r="G25" s="754"/>
      <c r="H25" s="618"/>
      <c r="I25" s="754"/>
      <c r="J25" s="546"/>
      <c r="K25" s="546"/>
      <c r="L25" s="546"/>
    </row>
    <row r="26" spans="1:36" s="619" customFormat="1" ht="15.75" x14ac:dyDescent="0.25">
      <c r="A26" s="686" t="s">
        <v>910</v>
      </c>
      <c r="B26" s="686">
        <v>5216007171</v>
      </c>
      <c r="C26" s="876" t="s">
        <v>1649</v>
      </c>
      <c r="D26" s="618">
        <v>10.02</v>
      </c>
      <c r="E26" s="754">
        <v>0</v>
      </c>
      <c r="F26" s="548" t="s">
        <v>1648</v>
      </c>
      <c r="G26" s="754"/>
      <c r="H26" s="618"/>
      <c r="I26" s="754"/>
      <c r="J26" s="546"/>
      <c r="K26" s="546"/>
      <c r="L26" s="546"/>
    </row>
    <row r="27" spans="1:36" s="619" customFormat="1" ht="15.75" x14ac:dyDescent="0.25">
      <c r="A27" s="686" t="s">
        <v>1651</v>
      </c>
      <c r="B27" s="686">
        <v>5217000077</v>
      </c>
      <c r="C27" s="546" t="s">
        <v>1650</v>
      </c>
      <c r="D27" s="618">
        <v>26.71</v>
      </c>
      <c r="E27" s="754">
        <v>80</v>
      </c>
      <c r="F27" s="548"/>
      <c r="G27" s="754"/>
      <c r="H27" s="618"/>
      <c r="I27" s="754"/>
      <c r="J27" s="546"/>
      <c r="K27" s="546"/>
      <c r="L27" s="546"/>
    </row>
    <row r="28" spans="1:36" s="619" customFormat="1" ht="15.75" x14ac:dyDescent="0.25">
      <c r="A28" s="686" t="s">
        <v>1652</v>
      </c>
      <c r="B28" s="686">
        <v>5219001475</v>
      </c>
      <c r="C28" s="546" t="s">
        <v>1653</v>
      </c>
      <c r="D28" s="618">
        <v>64.81</v>
      </c>
      <c r="E28" s="754">
        <v>59</v>
      </c>
      <c r="F28" s="548"/>
      <c r="G28" s="754"/>
      <c r="H28" s="618"/>
      <c r="I28" s="754"/>
      <c r="J28" s="546"/>
      <c r="K28" s="546"/>
      <c r="L28" s="546"/>
    </row>
    <row r="29" spans="1:36" s="584" customFormat="1" ht="29.25" customHeight="1" x14ac:dyDescent="0.3">
      <c r="A29" s="862" t="s">
        <v>1548</v>
      </c>
      <c r="B29" s="858" t="s">
        <v>1549</v>
      </c>
      <c r="C29" s="858"/>
      <c r="D29" s="859"/>
      <c r="E29" s="861"/>
      <c r="F29" s="860"/>
      <c r="G29" s="861"/>
      <c r="H29" s="859"/>
      <c r="I29" s="861"/>
      <c r="J29" s="858"/>
      <c r="K29" s="858"/>
      <c r="L29" s="858"/>
    </row>
    <row r="30" spans="1:36" s="619" customFormat="1" ht="14.25" customHeight="1" x14ac:dyDescent="0.25">
      <c r="A30" s="546" t="s">
        <v>870</v>
      </c>
      <c r="B30" s="546" t="s">
        <v>1550</v>
      </c>
      <c r="C30" s="546" t="s">
        <v>1646</v>
      </c>
      <c r="D30" s="618">
        <v>253</v>
      </c>
      <c r="E30" s="547">
        <v>3005</v>
      </c>
      <c r="F30" s="548"/>
      <c r="G30" s="547"/>
      <c r="H30" s="618"/>
      <c r="I30" s="547"/>
      <c r="J30" s="546"/>
      <c r="K30" s="546" t="s">
        <v>1554</v>
      </c>
      <c r="L30" s="546"/>
    </row>
    <row r="31" spans="1:36" s="619" customFormat="1" ht="14.25" customHeight="1" x14ac:dyDescent="0.25">
      <c r="A31" s="546" t="s">
        <v>864</v>
      </c>
      <c r="B31" s="546" t="s">
        <v>1557</v>
      </c>
      <c r="C31" s="767" t="s">
        <v>1646</v>
      </c>
      <c r="D31" s="618">
        <v>8.1300000000000008</v>
      </c>
      <c r="E31" s="547">
        <v>1</v>
      </c>
      <c r="F31" s="548"/>
      <c r="G31" s="547"/>
      <c r="H31" s="618"/>
      <c r="I31" s="547"/>
      <c r="J31" s="546"/>
      <c r="K31" s="546" t="s">
        <v>821</v>
      </c>
      <c r="L31" s="546"/>
    </row>
    <row r="32" spans="1:36" s="619" customFormat="1" ht="14.25" customHeight="1" x14ac:dyDescent="0.25">
      <c r="A32" s="546" t="s">
        <v>1552</v>
      </c>
      <c r="B32" s="546" t="s">
        <v>1553</v>
      </c>
      <c r="C32" s="546" t="s">
        <v>1646</v>
      </c>
      <c r="D32" s="618">
        <v>32.86</v>
      </c>
      <c r="E32" s="547">
        <v>369</v>
      </c>
      <c r="F32" s="548"/>
      <c r="G32" s="547"/>
      <c r="H32" s="618"/>
      <c r="I32" s="547"/>
      <c r="J32" s="546"/>
      <c r="K32" s="546" t="s">
        <v>794</v>
      </c>
      <c r="L32" s="546"/>
    </row>
    <row r="33" spans="1:12" s="619" customFormat="1" ht="14.25" customHeight="1" x14ac:dyDescent="0.25">
      <c r="A33" s="546" t="s">
        <v>852</v>
      </c>
      <c r="B33" s="546" t="s">
        <v>1558</v>
      </c>
      <c r="C33" s="546" t="s">
        <v>1646</v>
      </c>
      <c r="D33" s="618">
        <v>17.22</v>
      </c>
      <c r="E33" s="547">
        <v>150</v>
      </c>
      <c r="F33" s="548"/>
      <c r="G33" s="547"/>
      <c r="H33" s="618"/>
      <c r="I33" s="547"/>
      <c r="J33" s="546"/>
      <c r="K33" s="546" t="s">
        <v>808</v>
      </c>
      <c r="L33" s="546"/>
    </row>
    <row r="34" spans="1:12" s="619" customFormat="1" ht="14.25" customHeight="1" x14ac:dyDescent="0.25">
      <c r="A34" s="546" t="s">
        <v>1555</v>
      </c>
      <c r="B34" s="546" t="s">
        <v>1556</v>
      </c>
      <c r="C34" s="546" t="s">
        <v>1646</v>
      </c>
      <c r="D34" s="618">
        <v>79.33</v>
      </c>
      <c r="E34" s="547">
        <v>1039</v>
      </c>
      <c r="F34" s="548"/>
      <c r="G34" s="547"/>
      <c r="H34" s="618"/>
      <c r="I34" s="547"/>
      <c r="J34" s="546"/>
      <c r="K34" s="546" t="s">
        <v>811</v>
      </c>
      <c r="L34" s="546"/>
    </row>
    <row r="35" spans="1:12" s="619" customFormat="1" ht="14.25" customHeight="1" x14ac:dyDescent="0.25">
      <c r="A35" s="546" t="s">
        <v>1561</v>
      </c>
      <c r="B35" s="546" t="s">
        <v>1559</v>
      </c>
      <c r="C35" s="546" t="s">
        <v>1646</v>
      </c>
      <c r="D35" s="618">
        <v>362.74</v>
      </c>
      <c r="E35" s="547">
        <v>4520</v>
      </c>
      <c r="F35" s="548"/>
      <c r="G35" s="547"/>
      <c r="H35" s="618"/>
      <c r="I35" s="547"/>
      <c r="J35" s="546"/>
      <c r="K35" s="546" t="s">
        <v>1560</v>
      </c>
      <c r="L35" s="546"/>
    </row>
    <row r="36" spans="1:12" s="619" customFormat="1" ht="14.25" customHeight="1" x14ac:dyDescent="0.25">
      <c r="A36" s="546" t="s">
        <v>858</v>
      </c>
      <c r="B36" s="546" t="s">
        <v>1562</v>
      </c>
      <c r="C36" s="546" t="s">
        <v>1646</v>
      </c>
      <c r="D36" s="618">
        <v>13.61</v>
      </c>
      <c r="E36" s="547">
        <v>80</v>
      </c>
      <c r="F36" s="548"/>
      <c r="G36" s="547"/>
      <c r="H36" s="618"/>
      <c r="I36" s="547"/>
      <c r="J36" s="546"/>
      <c r="K36" s="546" t="s">
        <v>791</v>
      </c>
      <c r="L36" s="546"/>
    </row>
    <row r="37" spans="1:12" s="619" customFormat="1" ht="14.25" customHeight="1" x14ac:dyDescent="0.25">
      <c r="A37" s="546" t="s">
        <v>840</v>
      </c>
      <c r="B37" s="546" t="s">
        <v>1563</v>
      </c>
      <c r="C37" s="767" t="s">
        <v>1646</v>
      </c>
      <c r="D37" s="618">
        <v>120.97</v>
      </c>
      <c r="E37" s="547">
        <v>1648</v>
      </c>
      <c r="F37" s="548"/>
      <c r="G37" s="547"/>
      <c r="H37" s="618"/>
      <c r="I37" s="547"/>
      <c r="J37" s="546"/>
      <c r="K37" s="546" t="s">
        <v>810</v>
      </c>
      <c r="L37" s="546"/>
    </row>
    <row r="38" spans="1:12" s="619" customFormat="1" ht="14.25" customHeight="1" x14ac:dyDescent="0.25">
      <c r="A38" s="546" t="s">
        <v>1167</v>
      </c>
      <c r="B38" s="546" t="s">
        <v>1564</v>
      </c>
      <c r="C38" s="546" t="s">
        <v>1646</v>
      </c>
      <c r="D38" s="618">
        <v>17.57</v>
      </c>
      <c r="E38" s="547">
        <v>150</v>
      </c>
      <c r="F38" s="548"/>
      <c r="G38" s="547"/>
      <c r="H38" s="618"/>
      <c r="I38" s="547"/>
      <c r="J38" s="546"/>
      <c r="K38" s="546" t="s">
        <v>792</v>
      </c>
      <c r="L38" s="546"/>
    </row>
    <row r="39" spans="1:12" s="619" customFormat="1" ht="14.25" customHeight="1" x14ac:dyDescent="0.25">
      <c r="A39" s="546" t="s">
        <v>1565</v>
      </c>
      <c r="B39" s="546" t="s">
        <v>1566</v>
      </c>
      <c r="C39" s="546" t="s">
        <v>1646</v>
      </c>
      <c r="D39" s="618">
        <v>22.45</v>
      </c>
      <c r="E39" s="547">
        <v>207</v>
      </c>
      <c r="F39" s="548"/>
      <c r="G39" s="547"/>
      <c r="H39" s="618"/>
      <c r="I39" s="547"/>
      <c r="J39" s="546"/>
      <c r="K39" s="546" t="s">
        <v>820</v>
      </c>
      <c r="L39" s="546"/>
    </row>
    <row r="40" spans="1:12" s="619" customFormat="1" ht="14.25" customHeight="1" x14ac:dyDescent="0.25">
      <c r="A40" s="546" t="s">
        <v>1567</v>
      </c>
      <c r="B40" s="546" t="s">
        <v>1568</v>
      </c>
      <c r="C40" s="546" t="s">
        <v>1646</v>
      </c>
      <c r="D40" s="618">
        <v>135.97</v>
      </c>
      <c r="E40" s="547">
        <v>1241</v>
      </c>
      <c r="F40" s="548"/>
      <c r="G40" s="547"/>
      <c r="H40" s="618"/>
      <c r="I40" s="547"/>
      <c r="J40" s="546"/>
      <c r="K40" s="546" t="s">
        <v>819</v>
      </c>
      <c r="L40" s="546"/>
    </row>
    <row r="41" spans="1:12" s="619" customFormat="1" ht="14.25" customHeight="1" x14ac:dyDescent="0.25">
      <c r="A41" s="546" t="s">
        <v>1569</v>
      </c>
      <c r="B41" s="546" t="s">
        <v>1570</v>
      </c>
      <c r="C41" s="546" t="s">
        <v>1646</v>
      </c>
      <c r="D41" s="618">
        <v>611.49</v>
      </c>
      <c r="E41" s="547">
        <v>8640</v>
      </c>
      <c r="F41" s="548"/>
      <c r="G41" s="547"/>
      <c r="H41" s="618"/>
      <c r="I41" s="547"/>
      <c r="J41" s="546"/>
      <c r="K41" s="546" t="s">
        <v>818</v>
      </c>
      <c r="L41" s="546"/>
    </row>
    <row r="42" spans="1:12" s="619" customFormat="1" ht="14.25" customHeight="1" x14ac:dyDescent="0.25">
      <c r="A42" s="546" t="s">
        <v>1571</v>
      </c>
      <c r="B42" s="546" t="s">
        <v>1572</v>
      </c>
      <c r="C42" s="546" t="s">
        <v>1646</v>
      </c>
      <c r="D42" s="618">
        <v>17.57</v>
      </c>
      <c r="E42" s="547">
        <v>150</v>
      </c>
      <c r="F42" s="548"/>
      <c r="G42" s="547"/>
      <c r="H42" s="618"/>
      <c r="I42" s="547"/>
      <c r="J42" s="546"/>
      <c r="K42" s="546" t="s">
        <v>797</v>
      </c>
      <c r="L42" s="546"/>
    </row>
    <row r="43" spans="1:12" s="619" customFormat="1" ht="14.25" customHeight="1" x14ac:dyDescent="0.25">
      <c r="A43" s="546" t="s">
        <v>1573</v>
      </c>
      <c r="B43" s="546" t="s">
        <v>1574</v>
      </c>
      <c r="C43" s="546" t="s">
        <v>1646</v>
      </c>
      <c r="D43" s="618">
        <v>22.15</v>
      </c>
      <c r="E43" s="547">
        <v>160</v>
      </c>
      <c r="F43" s="548"/>
      <c r="G43" s="547"/>
      <c r="H43" s="618"/>
      <c r="I43" s="547"/>
      <c r="J43" s="546"/>
      <c r="K43" s="546" t="s">
        <v>809</v>
      </c>
      <c r="L43" s="546"/>
    </row>
    <row r="44" spans="1:12" s="619" customFormat="1" ht="14.25" customHeight="1" x14ac:dyDescent="0.25">
      <c r="A44" s="546" t="s">
        <v>1575</v>
      </c>
      <c r="B44" s="546" t="s">
        <v>1576</v>
      </c>
      <c r="C44" s="546" t="s">
        <v>1646</v>
      </c>
      <c r="D44" s="618">
        <v>275.67</v>
      </c>
      <c r="E44" s="547">
        <v>2993</v>
      </c>
      <c r="F44" s="548"/>
      <c r="G44" s="547"/>
      <c r="H44" s="618"/>
      <c r="I44" s="547"/>
      <c r="J44" s="546"/>
      <c r="K44" s="546" t="s">
        <v>822</v>
      </c>
      <c r="L44" s="546"/>
    </row>
    <row r="45" spans="1:12" s="619" customFormat="1" ht="14.25" customHeight="1" x14ac:dyDescent="0.25">
      <c r="A45" s="546" t="s">
        <v>828</v>
      </c>
      <c r="B45" s="546" t="s">
        <v>1577</v>
      </c>
      <c r="C45" s="546" t="s">
        <v>1646</v>
      </c>
      <c r="D45" s="618">
        <v>10.9</v>
      </c>
      <c r="E45" s="547">
        <v>70</v>
      </c>
      <c r="F45" s="548"/>
      <c r="G45" s="547"/>
      <c r="H45" s="618"/>
      <c r="I45" s="547"/>
      <c r="J45" s="546"/>
      <c r="K45" s="546" t="s">
        <v>780</v>
      </c>
      <c r="L45" s="546"/>
    </row>
    <row r="46" spans="1:12" s="619" customFormat="1" ht="14.25" customHeight="1" x14ac:dyDescent="0.25">
      <c r="A46" s="546" t="s">
        <v>1578</v>
      </c>
      <c r="B46" s="546" t="s">
        <v>1579</v>
      </c>
      <c r="C46" s="546" t="s">
        <v>1646</v>
      </c>
      <c r="D46" s="618">
        <v>6.15</v>
      </c>
      <c r="E46" s="547">
        <v>1285</v>
      </c>
      <c r="F46" s="548"/>
      <c r="G46" s="547"/>
      <c r="H46" s="618"/>
      <c r="I46" s="547"/>
      <c r="J46" s="546"/>
      <c r="K46" s="546" t="s">
        <v>826</v>
      </c>
      <c r="L46" s="546"/>
    </row>
    <row r="47" spans="1:12" s="619" customFormat="1" ht="14.25" customHeight="1" x14ac:dyDescent="0.25">
      <c r="A47" s="546" t="s">
        <v>1580</v>
      </c>
      <c r="B47" s="546" t="s">
        <v>1581</v>
      </c>
      <c r="C47" s="546" t="s">
        <v>1646</v>
      </c>
      <c r="D47" s="618">
        <v>3235.56</v>
      </c>
      <c r="E47" s="547">
        <v>56300</v>
      </c>
      <c r="F47" s="548"/>
      <c r="G47" s="547"/>
      <c r="H47" s="618"/>
      <c r="I47" s="547"/>
      <c r="J47" s="546"/>
      <c r="K47" s="546" t="s">
        <v>783</v>
      </c>
      <c r="L47" s="546"/>
    </row>
    <row r="48" spans="1:12" s="619" customFormat="1" ht="14.25" customHeight="1" x14ac:dyDescent="0.25">
      <c r="A48" s="546" t="s">
        <v>1582</v>
      </c>
      <c r="B48" s="546" t="s">
        <v>1583</v>
      </c>
      <c r="C48" s="546" t="s">
        <v>1646</v>
      </c>
      <c r="D48" s="618">
        <v>134.12</v>
      </c>
      <c r="E48" s="547">
        <v>1840</v>
      </c>
      <c r="F48" s="548"/>
      <c r="G48" s="547"/>
      <c r="H48" s="618"/>
      <c r="I48" s="547"/>
      <c r="J48" s="546"/>
      <c r="K48" s="546" t="s">
        <v>825</v>
      </c>
      <c r="L48" s="546"/>
    </row>
    <row r="49" spans="1:12" s="619" customFormat="1" ht="14.25" customHeight="1" x14ac:dyDescent="0.25">
      <c r="A49" s="546" t="s">
        <v>1584</v>
      </c>
      <c r="B49" s="546" t="s">
        <v>1585</v>
      </c>
      <c r="C49" s="546" t="s">
        <v>1646</v>
      </c>
      <c r="D49" s="618">
        <v>55.69</v>
      </c>
      <c r="E49" s="547">
        <v>300</v>
      </c>
      <c r="F49" s="548"/>
      <c r="G49" s="547"/>
      <c r="H49" s="618"/>
      <c r="I49" s="547"/>
      <c r="J49" s="546"/>
      <c r="K49" s="546" t="s">
        <v>785</v>
      </c>
      <c r="L49" s="546"/>
    </row>
    <row r="50" spans="1:12" s="619" customFormat="1" ht="14.25" customHeight="1" x14ac:dyDescent="0.25">
      <c r="A50" s="546" t="s">
        <v>935</v>
      </c>
      <c r="B50" s="546" t="s">
        <v>1586</v>
      </c>
      <c r="C50" s="546" t="s">
        <v>1646</v>
      </c>
      <c r="D50" s="618">
        <v>20.12</v>
      </c>
      <c r="E50" s="547">
        <v>140</v>
      </c>
      <c r="F50" s="548"/>
      <c r="G50" s="547"/>
      <c r="H50" s="618"/>
      <c r="I50" s="547"/>
      <c r="J50" s="546"/>
      <c r="K50" s="546" t="s">
        <v>823</v>
      </c>
      <c r="L50" s="546"/>
    </row>
    <row r="51" spans="1:12" s="619" customFormat="1" ht="14.25" customHeight="1" x14ac:dyDescent="0.25">
      <c r="A51" s="546" t="s">
        <v>1587</v>
      </c>
      <c r="B51" s="546" t="s">
        <v>1588</v>
      </c>
      <c r="C51" s="546" t="s">
        <v>1646</v>
      </c>
      <c r="D51" s="618">
        <v>17.57</v>
      </c>
      <c r="E51" s="547">
        <v>150</v>
      </c>
      <c r="F51" s="548"/>
      <c r="G51" s="547"/>
      <c r="H51" s="618"/>
      <c r="I51" s="547"/>
      <c r="J51" s="546"/>
      <c r="K51" s="546" t="s">
        <v>812</v>
      </c>
      <c r="L51" s="546"/>
    </row>
    <row r="52" spans="1:12" s="619" customFormat="1" ht="14.25" customHeight="1" x14ac:dyDescent="0.25">
      <c r="A52" s="546" t="s">
        <v>1589</v>
      </c>
      <c r="B52" s="546" t="s">
        <v>1590</v>
      </c>
      <c r="C52" s="546" t="s">
        <v>1646</v>
      </c>
      <c r="D52" s="618">
        <v>13.61</v>
      </c>
      <c r="E52" s="547">
        <v>80</v>
      </c>
      <c r="F52" s="548"/>
      <c r="G52" s="547"/>
      <c r="H52" s="618"/>
      <c r="I52" s="547"/>
      <c r="J52" s="546"/>
      <c r="K52" s="546" t="s">
        <v>802</v>
      </c>
      <c r="L52" s="546"/>
    </row>
    <row r="53" spans="1:12" s="619" customFormat="1" ht="14.25" customHeight="1" x14ac:dyDescent="0.25">
      <c r="A53" s="546" t="s">
        <v>1591</v>
      </c>
      <c r="B53" s="546" t="s">
        <v>1592</v>
      </c>
      <c r="C53" s="546" t="s">
        <v>1646</v>
      </c>
      <c r="D53" s="618">
        <v>854.49</v>
      </c>
      <c r="E53" s="547">
        <v>9780</v>
      </c>
      <c r="F53" s="548"/>
      <c r="G53" s="547"/>
      <c r="H53" s="618"/>
      <c r="I53" s="547"/>
      <c r="J53" s="546"/>
      <c r="K53" s="546" t="s">
        <v>1593</v>
      </c>
      <c r="L53" s="546"/>
    </row>
    <row r="54" spans="1:12" s="619" customFormat="1" ht="14.25" customHeight="1" x14ac:dyDescent="0.25">
      <c r="A54" s="546" t="s">
        <v>1594</v>
      </c>
      <c r="B54" s="546" t="s">
        <v>1595</v>
      </c>
      <c r="C54" s="546" t="s">
        <v>1646</v>
      </c>
      <c r="D54" s="618">
        <v>10.9</v>
      </c>
      <c r="E54" s="547">
        <v>70</v>
      </c>
      <c r="F54" s="548"/>
      <c r="G54" s="547"/>
      <c r="H54" s="618"/>
      <c r="I54" s="547"/>
      <c r="J54" s="546"/>
      <c r="K54" s="546" t="s">
        <v>801</v>
      </c>
      <c r="L54" s="546"/>
    </row>
    <row r="55" spans="1:12" s="619" customFormat="1" ht="14.25" customHeight="1" x14ac:dyDescent="0.25">
      <c r="A55" s="546" t="s">
        <v>1596</v>
      </c>
      <c r="B55" s="546" t="s">
        <v>1597</v>
      </c>
      <c r="C55" s="546" t="s">
        <v>1646</v>
      </c>
      <c r="D55" s="618">
        <v>82.56</v>
      </c>
      <c r="E55" s="547">
        <v>1086</v>
      </c>
      <c r="F55" s="548"/>
      <c r="G55" s="547"/>
      <c r="H55" s="618"/>
      <c r="I55" s="547"/>
      <c r="J55" s="546"/>
      <c r="K55" s="546" t="s">
        <v>894</v>
      </c>
      <c r="L55" s="546"/>
    </row>
    <row r="56" spans="1:12" s="619" customFormat="1" ht="14.25" customHeight="1" x14ac:dyDescent="0.25">
      <c r="A56" s="546" t="s">
        <v>1598</v>
      </c>
      <c r="B56" s="546" t="s">
        <v>1599</v>
      </c>
      <c r="C56" s="546" t="s">
        <v>1646</v>
      </c>
      <c r="D56" s="618">
        <v>107.09</v>
      </c>
      <c r="E56" s="547">
        <v>770</v>
      </c>
      <c r="F56" s="548"/>
      <c r="G56" s="547"/>
      <c r="H56" s="618"/>
      <c r="I56" s="547"/>
      <c r="J56" s="546"/>
      <c r="K56" s="546" t="s">
        <v>816</v>
      </c>
      <c r="L56" s="546"/>
    </row>
    <row r="57" spans="1:12" s="619" customFormat="1" ht="14.25" customHeight="1" x14ac:dyDescent="0.25">
      <c r="A57" s="546" t="s">
        <v>1600</v>
      </c>
      <c r="B57" s="546" t="s">
        <v>1601</v>
      </c>
      <c r="C57" s="546" t="s">
        <v>1646</v>
      </c>
      <c r="D57" s="618">
        <v>152.65</v>
      </c>
      <c r="E57" s="547">
        <v>2111</v>
      </c>
      <c r="F57" s="548"/>
      <c r="G57" s="547"/>
      <c r="H57" s="618"/>
      <c r="I57" s="547"/>
      <c r="J57" s="546"/>
      <c r="K57" s="546" t="s">
        <v>798</v>
      </c>
      <c r="L57" s="546"/>
    </row>
    <row r="58" spans="1:12" s="619" customFormat="1" ht="14.25" customHeight="1" x14ac:dyDescent="0.25">
      <c r="A58" s="546" t="s">
        <v>1602</v>
      </c>
      <c r="B58" s="546" t="s">
        <v>1603</v>
      </c>
      <c r="C58" s="546" t="s">
        <v>1646</v>
      </c>
      <c r="D58" s="618">
        <v>200.77</v>
      </c>
      <c r="E58" s="547">
        <v>1872</v>
      </c>
      <c r="F58" s="548"/>
      <c r="G58" s="547"/>
      <c r="H58" s="618"/>
      <c r="I58" s="547"/>
      <c r="J58" s="546"/>
      <c r="K58" s="546" t="s">
        <v>784</v>
      </c>
      <c r="L58" s="546"/>
    </row>
    <row r="59" spans="1:12" s="619" customFormat="1" ht="14.25" customHeight="1" x14ac:dyDescent="0.25">
      <c r="A59" s="546" t="s">
        <v>1604</v>
      </c>
      <c r="B59" s="546" t="s">
        <v>1605</v>
      </c>
      <c r="C59" s="546" t="s">
        <v>1646</v>
      </c>
      <c r="D59" s="618">
        <v>8.84</v>
      </c>
      <c r="E59" s="547">
        <v>8</v>
      </c>
      <c r="F59" s="548"/>
      <c r="G59" s="547"/>
      <c r="H59" s="618"/>
      <c r="I59" s="547"/>
      <c r="J59" s="546"/>
      <c r="K59" s="546" t="s">
        <v>790</v>
      </c>
      <c r="L59" s="546"/>
    </row>
    <row r="60" spans="1:12" s="619" customFormat="1" ht="14.25" customHeight="1" x14ac:dyDescent="0.25">
      <c r="A60" s="546" t="s">
        <v>1606</v>
      </c>
      <c r="B60" s="546" t="s">
        <v>1607</v>
      </c>
      <c r="C60" s="546" t="s">
        <v>1646</v>
      </c>
      <c r="D60" s="618">
        <v>73.989999999999995</v>
      </c>
      <c r="E60" s="547">
        <v>985</v>
      </c>
      <c r="F60" s="548"/>
      <c r="G60" s="547"/>
      <c r="H60" s="618"/>
      <c r="I60" s="547"/>
      <c r="J60" s="546"/>
      <c r="K60" s="546" t="s">
        <v>781</v>
      </c>
      <c r="L60" s="546"/>
    </row>
    <row r="61" spans="1:12" s="619" customFormat="1" ht="14.25" customHeight="1" x14ac:dyDescent="0.25">
      <c r="A61" s="546" t="s">
        <v>1606</v>
      </c>
      <c r="B61" s="546" t="s">
        <v>1608</v>
      </c>
      <c r="C61" s="546" t="s">
        <v>1646</v>
      </c>
      <c r="D61" s="618">
        <v>240.67</v>
      </c>
      <c r="E61" s="547">
        <v>3226</v>
      </c>
      <c r="F61" s="548"/>
      <c r="G61" s="547"/>
      <c r="H61" s="618"/>
      <c r="I61" s="547"/>
      <c r="J61" s="546"/>
      <c r="K61" s="546" t="s">
        <v>795</v>
      </c>
      <c r="L61" s="546"/>
    </row>
    <row r="62" spans="1:12" s="619" customFormat="1" ht="14.25" customHeight="1" x14ac:dyDescent="0.25">
      <c r="A62" s="546" t="s">
        <v>1609</v>
      </c>
      <c r="B62" s="546" t="s">
        <v>1610</v>
      </c>
      <c r="C62" s="546" t="s">
        <v>1646</v>
      </c>
      <c r="D62" s="618">
        <v>862.81</v>
      </c>
      <c r="E62" s="547">
        <v>10800</v>
      </c>
      <c r="F62" s="548"/>
      <c r="G62" s="547"/>
      <c r="H62" s="618"/>
      <c r="I62" s="547"/>
      <c r="J62" s="546"/>
      <c r="K62" s="546" t="s">
        <v>789</v>
      </c>
      <c r="L62" s="546"/>
    </row>
    <row r="63" spans="1:12" s="619" customFormat="1" ht="14.25" customHeight="1" x14ac:dyDescent="0.25">
      <c r="A63" s="546" t="s">
        <v>1611</v>
      </c>
      <c r="B63" s="546" t="s">
        <v>1612</v>
      </c>
      <c r="C63" s="546" t="s">
        <v>1646</v>
      </c>
      <c r="D63" s="618">
        <v>129.09</v>
      </c>
      <c r="E63" s="547">
        <v>1805</v>
      </c>
      <c r="F63" s="548"/>
      <c r="G63" s="547"/>
      <c r="H63" s="618"/>
      <c r="I63" s="547"/>
      <c r="J63" s="546"/>
      <c r="K63" s="546" t="s">
        <v>815</v>
      </c>
      <c r="L63" s="546"/>
    </row>
    <row r="64" spans="1:12" s="619" customFormat="1" ht="14.25" customHeight="1" x14ac:dyDescent="0.25">
      <c r="A64" s="546" t="s">
        <v>1613</v>
      </c>
      <c r="B64" s="546" t="s">
        <v>1614</v>
      </c>
      <c r="C64" s="546" t="s">
        <v>1646</v>
      </c>
      <c r="D64" s="618">
        <v>58.95</v>
      </c>
      <c r="E64" s="547">
        <v>31</v>
      </c>
      <c r="F64" s="548"/>
      <c r="G64" s="547"/>
      <c r="H64" s="618"/>
      <c r="I64" s="547"/>
      <c r="J64" s="546"/>
      <c r="K64" s="546" t="s">
        <v>796</v>
      </c>
      <c r="L64" s="546"/>
    </row>
    <row r="65" spans="1:36" s="619" customFormat="1" ht="14.25" customHeight="1" x14ac:dyDescent="0.25">
      <c r="A65" s="546" t="s">
        <v>1615</v>
      </c>
      <c r="B65" s="546" t="s">
        <v>1616</v>
      </c>
      <c r="C65" s="546" t="s">
        <v>1646</v>
      </c>
      <c r="D65" s="618">
        <v>1336.52</v>
      </c>
      <c r="E65" s="547">
        <v>11550</v>
      </c>
      <c r="F65" s="548"/>
      <c r="G65" s="547"/>
      <c r="H65" s="618"/>
      <c r="I65" s="547"/>
      <c r="J65" s="546"/>
      <c r="K65" s="546" t="s">
        <v>824</v>
      </c>
      <c r="L65" s="546"/>
    </row>
    <row r="66" spans="1:36" s="619" customFormat="1" ht="14.25" customHeight="1" x14ac:dyDescent="0.25">
      <c r="A66" s="546" t="s">
        <v>1617</v>
      </c>
      <c r="B66" s="546" t="s">
        <v>1618</v>
      </c>
      <c r="C66" s="546" t="s">
        <v>1646</v>
      </c>
      <c r="D66" s="618">
        <v>504.21</v>
      </c>
      <c r="E66" s="547">
        <v>3000</v>
      </c>
      <c r="F66" s="548"/>
      <c r="G66" s="547"/>
      <c r="H66" s="618"/>
      <c r="I66" s="547"/>
      <c r="J66" s="546"/>
      <c r="K66" s="546" t="s">
        <v>805</v>
      </c>
      <c r="L66" s="546"/>
    </row>
    <row r="67" spans="1:36" s="619" customFormat="1" ht="14.25" customHeight="1" x14ac:dyDescent="0.25">
      <c r="A67" s="546" t="s">
        <v>1619</v>
      </c>
      <c r="B67" s="546" t="s">
        <v>1620</v>
      </c>
      <c r="C67" s="546" t="s">
        <v>1646</v>
      </c>
      <c r="D67" s="618">
        <v>320.86</v>
      </c>
      <c r="E67" s="547">
        <v>1400</v>
      </c>
      <c r="F67" s="548"/>
      <c r="G67" s="547"/>
      <c r="H67" s="618"/>
      <c r="I67" s="547"/>
      <c r="J67" s="546"/>
      <c r="K67" s="546" t="s">
        <v>806</v>
      </c>
      <c r="L67" s="546"/>
    </row>
    <row r="68" spans="1:36" s="619" customFormat="1" ht="14.25" customHeight="1" x14ac:dyDescent="0.25">
      <c r="A68" s="546" t="s">
        <v>1621</v>
      </c>
      <c r="B68" s="546" t="s">
        <v>1622</v>
      </c>
      <c r="C68" s="546" t="s">
        <v>1646</v>
      </c>
      <c r="D68" s="618">
        <v>794</v>
      </c>
      <c r="E68" s="547">
        <v>4560</v>
      </c>
      <c r="F68" s="548"/>
      <c r="G68" s="547"/>
      <c r="H68" s="618"/>
      <c r="I68" s="547"/>
      <c r="J68" s="546"/>
      <c r="K68" s="546" t="s">
        <v>778</v>
      </c>
      <c r="L68" s="546"/>
    </row>
    <row r="69" spans="1:36" s="619" customFormat="1" ht="14.25" customHeight="1" x14ac:dyDescent="0.25">
      <c r="A69" s="546" t="s">
        <v>1621</v>
      </c>
      <c r="B69" s="546" t="s">
        <v>1623</v>
      </c>
      <c r="C69" s="546" t="s">
        <v>1646</v>
      </c>
      <c r="D69" s="618">
        <v>176.81</v>
      </c>
      <c r="E69" s="547">
        <v>600</v>
      </c>
      <c r="F69" s="548"/>
      <c r="G69" s="547"/>
      <c r="H69" s="618"/>
      <c r="I69" s="547"/>
      <c r="J69" s="546"/>
      <c r="K69" s="546" t="s">
        <v>1624</v>
      </c>
      <c r="L69" s="546"/>
    </row>
    <row r="70" spans="1:36" s="619" customFormat="1" ht="14.25" customHeight="1" x14ac:dyDescent="0.25">
      <c r="A70" s="546" t="s">
        <v>869</v>
      </c>
      <c r="B70" s="546" t="s">
        <v>1625</v>
      </c>
      <c r="C70" s="546" t="s">
        <v>1646</v>
      </c>
      <c r="D70" s="618">
        <v>8.1300000000000008</v>
      </c>
      <c r="E70" s="547">
        <v>0</v>
      </c>
      <c r="F70" s="548"/>
      <c r="G70" s="547"/>
      <c r="H70" s="618"/>
      <c r="I70" s="547"/>
      <c r="J70" s="546"/>
      <c r="K70" s="546" t="s">
        <v>803</v>
      </c>
      <c r="L70" s="546"/>
    </row>
    <row r="71" spans="1:36" s="619" customFormat="1" ht="14.25" customHeight="1" x14ac:dyDescent="0.25">
      <c r="A71" s="546" t="s">
        <v>849</v>
      </c>
      <c r="B71" s="546" t="s">
        <v>1626</v>
      </c>
      <c r="C71" s="546" t="s">
        <v>1646</v>
      </c>
      <c r="D71" s="618">
        <v>614.25</v>
      </c>
      <c r="E71" s="547">
        <v>9769</v>
      </c>
      <c r="F71" s="548"/>
      <c r="G71" s="547"/>
      <c r="H71" s="618"/>
      <c r="I71" s="547"/>
      <c r="J71" s="546"/>
      <c r="K71" s="546" t="s">
        <v>788</v>
      </c>
      <c r="L71" s="546"/>
    </row>
    <row r="72" spans="1:36" s="619" customFormat="1" ht="14.25" customHeight="1" x14ac:dyDescent="0.25">
      <c r="A72" s="546" t="s">
        <v>1627</v>
      </c>
      <c r="B72" s="546" t="s">
        <v>1628</v>
      </c>
      <c r="C72" s="546" t="s">
        <v>1646</v>
      </c>
      <c r="D72" s="618">
        <v>137.13999999999999</v>
      </c>
      <c r="E72" s="547">
        <v>1040</v>
      </c>
      <c r="F72" s="548"/>
      <c r="G72" s="547"/>
      <c r="H72" s="618"/>
      <c r="I72" s="547"/>
      <c r="J72" s="546"/>
      <c r="K72" s="546" t="s">
        <v>786</v>
      </c>
      <c r="L72" s="546"/>
    </row>
    <row r="73" spans="1:36" s="619" customFormat="1" ht="14.25" customHeight="1" x14ac:dyDescent="0.25">
      <c r="A73" s="546" t="s">
        <v>1629</v>
      </c>
      <c r="B73" s="546" t="s">
        <v>1630</v>
      </c>
      <c r="C73" s="546" t="s">
        <v>1646</v>
      </c>
      <c r="D73" s="618">
        <v>342.95</v>
      </c>
      <c r="E73" s="547">
        <v>4155</v>
      </c>
      <c r="F73" s="548"/>
      <c r="G73" s="547"/>
      <c r="H73" s="618"/>
      <c r="I73" s="547"/>
      <c r="J73" s="546"/>
      <c r="K73" s="546" t="s">
        <v>804</v>
      </c>
      <c r="L73" s="546"/>
    </row>
    <row r="74" spans="1:36" s="199" customFormat="1" ht="26.25" x14ac:dyDescent="0.25">
      <c r="A74" s="698" t="s">
        <v>878</v>
      </c>
      <c r="B74" s="687"/>
      <c r="C74" s="249"/>
      <c r="D74" s="250"/>
      <c r="E74" s="750"/>
      <c r="F74" s="543"/>
      <c r="G74" s="750"/>
      <c r="H74" s="250"/>
      <c r="I74" s="750"/>
      <c r="J74" s="249"/>
      <c r="K74" s="249"/>
      <c r="L74" s="24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59"/>
      <c r="AC74" s="359"/>
      <c r="AD74" s="359"/>
      <c r="AE74" s="359"/>
      <c r="AF74" s="359"/>
      <c r="AG74" s="359"/>
      <c r="AH74" s="359"/>
      <c r="AI74" s="359"/>
      <c r="AJ74" s="359"/>
    </row>
    <row r="75" spans="1:36" s="184" customFormat="1" ht="26.25" x14ac:dyDescent="0.25">
      <c r="A75" s="695" t="s">
        <v>51</v>
      </c>
      <c r="B75" s="681" t="s">
        <v>208</v>
      </c>
      <c r="C75" s="289" t="s">
        <v>1639</v>
      </c>
      <c r="D75" s="269">
        <v>181</v>
      </c>
      <c r="E75" s="757">
        <v>1688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ht="26.25" x14ac:dyDescent="0.25">
      <c r="A76" s="695" t="s">
        <v>52</v>
      </c>
      <c r="B76" s="681" t="s">
        <v>209</v>
      </c>
      <c r="C76" s="289" t="s">
        <v>1639</v>
      </c>
      <c r="D76" s="269">
        <v>156</v>
      </c>
      <c r="E76" s="757">
        <v>1170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ht="26.25" x14ac:dyDescent="0.25">
      <c r="A77" s="695" t="s">
        <v>54</v>
      </c>
      <c r="B77" s="681">
        <v>7039100</v>
      </c>
      <c r="C77" s="289" t="s">
        <v>1639</v>
      </c>
      <c r="D77" s="269">
        <v>98</v>
      </c>
      <c r="E77" s="757">
        <v>505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55</v>
      </c>
      <c r="B78" s="681" t="s">
        <v>212</v>
      </c>
      <c r="C78" s="289" t="s">
        <v>1639</v>
      </c>
      <c r="D78" s="269">
        <v>45</v>
      </c>
      <c r="E78" s="757">
        <v>126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56</v>
      </c>
      <c r="B79" s="681" t="s">
        <v>213</v>
      </c>
      <c r="C79" s="289" t="s">
        <v>1639</v>
      </c>
      <c r="D79" s="269">
        <v>41</v>
      </c>
      <c r="E79" s="757">
        <v>72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57</v>
      </c>
      <c r="B80" s="681" t="s">
        <v>214</v>
      </c>
      <c r="C80" s="289" t="s">
        <v>1639</v>
      </c>
      <c r="D80" s="269">
        <v>237</v>
      </c>
      <c r="E80" s="757">
        <v>2104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58</v>
      </c>
      <c r="B81" s="681" t="s">
        <v>215</v>
      </c>
      <c r="C81" s="289">
        <v>43862</v>
      </c>
      <c r="D81" s="269">
        <v>316</v>
      </c>
      <c r="E81" s="757">
        <v>3343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770</v>
      </c>
      <c r="B82" s="681" t="s">
        <v>216</v>
      </c>
      <c r="C82" s="289" t="s">
        <v>1639</v>
      </c>
      <c r="D82" s="269">
        <v>58</v>
      </c>
      <c r="E82" s="757">
        <v>271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60</v>
      </c>
      <c r="B83" s="681" t="s">
        <v>217</v>
      </c>
      <c r="C83" s="289" t="s">
        <v>1639</v>
      </c>
      <c r="D83" s="269">
        <v>68</v>
      </c>
      <c r="E83" s="757">
        <v>153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61</v>
      </c>
      <c r="B84" s="681" t="s">
        <v>218</v>
      </c>
      <c r="C84" s="289" t="s">
        <v>1639</v>
      </c>
      <c r="D84" s="269">
        <v>35</v>
      </c>
      <c r="E84" s="757">
        <v>6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62</v>
      </c>
      <c r="B85" s="681" t="s">
        <v>219</v>
      </c>
      <c r="C85" s="289" t="s">
        <v>1639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771</v>
      </c>
      <c r="B86" s="681">
        <v>1402294701</v>
      </c>
      <c r="C86" s="289" t="s">
        <v>1639</v>
      </c>
      <c r="D86" s="269">
        <v>55.29</v>
      </c>
      <c r="E86" s="757">
        <v>15</v>
      </c>
      <c r="F86" s="544"/>
      <c r="G86" s="757"/>
      <c r="H86" s="269"/>
      <c r="I86" s="757"/>
      <c r="J86" s="245"/>
      <c r="K86" s="245"/>
      <c r="L86" s="245"/>
    </row>
    <row r="87" spans="1:12" s="331" customFormat="1" x14ac:dyDescent="0.25">
      <c r="A87" s="764" t="s">
        <v>621</v>
      </c>
      <c r="B87" s="762" t="s">
        <v>201</v>
      </c>
      <c r="C87" s="327" t="s">
        <v>1639</v>
      </c>
      <c r="D87" s="328">
        <v>63</v>
      </c>
      <c r="E87" s="763">
        <v>167</v>
      </c>
      <c r="F87" s="620"/>
      <c r="G87" s="763"/>
      <c r="H87" s="328"/>
      <c r="I87" s="763"/>
      <c r="J87" s="327" t="s">
        <v>33</v>
      </c>
      <c r="K87" s="327"/>
      <c r="L87" s="327"/>
    </row>
    <row r="88" spans="1:12" s="184" customFormat="1" x14ac:dyDescent="0.25">
      <c r="A88" s="695" t="s">
        <v>768</v>
      </c>
      <c r="B88" s="681" t="s">
        <v>202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96</v>
      </c>
      <c r="B89" s="681">
        <v>7815400</v>
      </c>
      <c r="C89" s="245" t="s">
        <v>1639</v>
      </c>
      <c r="D89" s="269">
        <v>1239</v>
      </c>
      <c r="E89" s="757">
        <v>13200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97</v>
      </c>
      <c r="B90" s="681" t="s">
        <v>204</v>
      </c>
      <c r="C90" s="245" t="s">
        <v>1639</v>
      </c>
      <c r="D90" s="269">
        <v>93</v>
      </c>
      <c r="E90" s="757">
        <v>6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98</v>
      </c>
      <c r="B91" s="681" t="s">
        <v>205</v>
      </c>
      <c r="C91" s="245" t="s">
        <v>1639</v>
      </c>
      <c r="D91" s="269">
        <v>34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769</v>
      </c>
      <c r="B92" s="681" t="s">
        <v>206</v>
      </c>
      <c r="C92" s="245" t="s">
        <v>1639</v>
      </c>
      <c r="D92" s="269">
        <v>39</v>
      </c>
      <c r="E92" s="757">
        <v>0.52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100</v>
      </c>
      <c r="B93" s="768">
        <v>1323346600</v>
      </c>
      <c r="C93" s="245" t="s">
        <v>1639</v>
      </c>
      <c r="D93" s="269">
        <v>476</v>
      </c>
      <c r="E93" s="757">
        <v>3900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101</v>
      </c>
      <c r="B94" s="768">
        <v>1322699400</v>
      </c>
      <c r="C94" s="289" t="s">
        <v>1639</v>
      </c>
      <c r="D94" s="269">
        <v>512</v>
      </c>
      <c r="E94" s="757">
        <v>4920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677" customFormat="1" x14ac:dyDescent="0.25">
      <c r="A95" s="761" t="s">
        <v>772</v>
      </c>
      <c r="B95" s="769" t="s">
        <v>200</v>
      </c>
      <c r="C95" s="770" t="s">
        <v>1638</v>
      </c>
      <c r="D95" s="674">
        <v>262</v>
      </c>
      <c r="E95" s="771">
        <v>24.34</v>
      </c>
      <c r="F95" s="676"/>
      <c r="G95" s="771"/>
      <c r="H95" s="674"/>
      <c r="I95" s="771"/>
      <c r="J95" s="673" t="s">
        <v>33</v>
      </c>
      <c r="K95" s="673"/>
      <c r="L95" s="673"/>
    </row>
    <row r="96" spans="1:12" s="184" customFormat="1" x14ac:dyDescent="0.25">
      <c r="A96" s="695" t="s">
        <v>110</v>
      </c>
      <c r="B96" s="681" t="s">
        <v>207</v>
      </c>
      <c r="C96" s="245" t="s">
        <v>1639</v>
      </c>
      <c r="D96" s="269">
        <v>140</v>
      </c>
      <c r="E96" s="757">
        <v>510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111</v>
      </c>
      <c r="B97" s="681" t="s">
        <v>222</v>
      </c>
      <c r="C97" s="245"/>
      <c r="D97" s="269"/>
      <c r="E97" s="757"/>
      <c r="F97" s="544"/>
      <c r="G97" s="757"/>
      <c r="H97" s="269"/>
      <c r="I97" s="757"/>
      <c r="J97" s="245" t="s">
        <v>33</v>
      </c>
      <c r="K97" s="245"/>
      <c r="L97" s="245"/>
    </row>
    <row r="98" spans="1:36" s="184" customFormat="1" ht="15.75" customHeight="1" x14ac:dyDescent="0.25">
      <c r="A98" s="695" t="s">
        <v>117</v>
      </c>
      <c r="B98" s="681" t="s">
        <v>220</v>
      </c>
      <c r="C98" s="245" t="s">
        <v>1639</v>
      </c>
      <c r="D98" s="269">
        <v>86</v>
      </c>
      <c r="E98" s="757">
        <v>393</v>
      </c>
      <c r="F98" s="544"/>
      <c r="G98" s="757"/>
      <c r="H98" s="269"/>
      <c r="I98" s="757"/>
      <c r="J98" s="245" t="s">
        <v>33</v>
      </c>
      <c r="K98" s="245"/>
      <c r="L98" s="245"/>
    </row>
    <row r="99" spans="1:36" s="184" customFormat="1" x14ac:dyDescent="0.25">
      <c r="A99" s="695" t="s">
        <v>118</v>
      </c>
      <c r="B99" s="681" t="s">
        <v>221</v>
      </c>
      <c r="C99" s="289" t="s">
        <v>1639</v>
      </c>
      <c r="D99" s="269">
        <v>95</v>
      </c>
      <c r="E99" s="757">
        <v>700</v>
      </c>
      <c r="F99" s="544"/>
      <c r="G99" s="757"/>
      <c r="H99" s="269"/>
      <c r="I99" s="757"/>
      <c r="J99" s="245" t="s">
        <v>33</v>
      </c>
      <c r="K99" s="245"/>
      <c r="L99" s="245"/>
    </row>
    <row r="100" spans="1:36" s="184" customFormat="1" x14ac:dyDescent="0.25">
      <c r="A100" s="695" t="s">
        <v>701</v>
      </c>
      <c r="B100" s="681">
        <v>1323115001</v>
      </c>
      <c r="C100" s="289" t="s">
        <v>1639</v>
      </c>
      <c r="D100" s="269">
        <v>1389</v>
      </c>
      <c r="E100" s="757">
        <v>12960</v>
      </c>
      <c r="F100" s="544"/>
      <c r="G100" s="757"/>
      <c r="H100" s="269"/>
      <c r="I100" s="757"/>
      <c r="J100" s="245"/>
      <c r="K100" s="245"/>
      <c r="L100" s="245"/>
    </row>
    <row r="101" spans="1:36" s="184" customFormat="1" x14ac:dyDescent="0.25">
      <c r="A101" s="695" t="s">
        <v>683</v>
      </c>
      <c r="B101" s="681">
        <v>1322673502</v>
      </c>
      <c r="C101" s="289" t="s">
        <v>1639</v>
      </c>
      <c r="D101" s="269">
        <v>54</v>
      </c>
      <c r="E101" s="757">
        <v>0</v>
      </c>
      <c r="F101" s="544"/>
      <c r="G101" s="757"/>
      <c r="H101" s="269"/>
      <c r="I101" s="757"/>
      <c r="J101" s="245"/>
      <c r="K101" s="245"/>
      <c r="L101" s="245"/>
    </row>
    <row r="102" spans="1:36" s="199" customFormat="1" x14ac:dyDescent="0.25">
      <c r="A102" s="698" t="s">
        <v>434</v>
      </c>
      <c r="B102" s="687"/>
      <c r="C102" s="249"/>
      <c r="D102" s="250"/>
      <c r="E102" s="750"/>
      <c r="F102" s="543"/>
      <c r="G102" s="750"/>
      <c r="H102" s="250"/>
      <c r="I102" s="750"/>
      <c r="J102" s="249"/>
      <c r="K102" s="249"/>
      <c r="L102" s="24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  <c r="AH102" s="359"/>
      <c r="AI102" s="359"/>
      <c r="AJ102" s="359"/>
    </row>
    <row r="103" spans="1:36" s="184" customFormat="1" x14ac:dyDescent="0.25">
      <c r="A103" s="695" t="s">
        <v>65</v>
      </c>
      <c r="B103" s="681" t="s">
        <v>163</v>
      </c>
      <c r="C103" s="245" t="s">
        <v>1639</v>
      </c>
      <c r="D103" s="269"/>
      <c r="E103" s="757"/>
      <c r="F103" s="544"/>
      <c r="G103" s="757"/>
      <c r="H103" s="269">
        <v>107.33</v>
      </c>
      <c r="I103" s="757">
        <v>139</v>
      </c>
      <c r="J103" s="245"/>
      <c r="K103" s="245"/>
      <c r="L103" s="245"/>
    </row>
    <row r="104" spans="1:36" s="184" customFormat="1" x14ac:dyDescent="0.25">
      <c r="A104" s="695" t="s">
        <v>37</v>
      </c>
      <c r="B104" s="681" t="s">
        <v>190</v>
      </c>
      <c r="C104" s="289" t="s">
        <v>1639</v>
      </c>
      <c r="D104" s="269"/>
      <c r="E104" s="757"/>
      <c r="F104" s="544"/>
      <c r="G104" s="757"/>
      <c r="H104" s="269">
        <v>100.43</v>
      </c>
      <c r="I104" s="757">
        <v>68</v>
      </c>
      <c r="J104" s="245"/>
      <c r="K104" s="245"/>
      <c r="L104" s="245"/>
    </row>
    <row r="105" spans="1:36" s="184" customFormat="1" x14ac:dyDescent="0.25">
      <c r="A105" s="695" t="s">
        <v>71</v>
      </c>
      <c r="B105" s="681" t="s">
        <v>188</v>
      </c>
      <c r="C105" s="245" t="s">
        <v>1639</v>
      </c>
      <c r="D105" s="269"/>
      <c r="E105" s="757"/>
      <c r="F105" s="544"/>
      <c r="G105" s="757"/>
      <c r="H105" s="269">
        <v>39.299999999999997</v>
      </c>
      <c r="I105" s="757">
        <v>5</v>
      </c>
      <c r="J105" s="245"/>
      <c r="K105" s="245"/>
      <c r="L105" s="245"/>
    </row>
    <row r="106" spans="1:36" s="184" customFormat="1" x14ac:dyDescent="0.25">
      <c r="A106" s="695" t="s">
        <v>72</v>
      </c>
      <c r="B106" s="681" t="s">
        <v>187</v>
      </c>
      <c r="C106" s="245" t="s">
        <v>1639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73</v>
      </c>
      <c r="B107" s="681" t="s">
        <v>171</v>
      </c>
      <c r="C107" s="245" t="s">
        <v>1639</v>
      </c>
      <c r="D107" s="269"/>
      <c r="E107" s="757"/>
      <c r="F107" s="544"/>
      <c r="G107" s="757"/>
      <c r="H107" s="269">
        <v>39.299999999999997</v>
      </c>
      <c r="I107" s="757">
        <v>19</v>
      </c>
      <c r="J107" s="245"/>
      <c r="K107" s="245"/>
      <c r="L107" s="245"/>
    </row>
    <row r="108" spans="1:36" s="184" customFormat="1" x14ac:dyDescent="0.25">
      <c r="A108" s="695" t="s">
        <v>74</v>
      </c>
      <c r="B108" s="681" t="s">
        <v>170</v>
      </c>
      <c r="C108" s="245" t="s">
        <v>1639</v>
      </c>
      <c r="D108" s="269"/>
      <c r="E108" s="757"/>
      <c r="F108" s="544"/>
      <c r="G108" s="757"/>
      <c r="H108" s="269">
        <v>39.299999999999997</v>
      </c>
      <c r="I108" s="757">
        <v>4</v>
      </c>
      <c r="J108" s="245"/>
      <c r="K108" s="245"/>
      <c r="L108" s="245"/>
    </row>
    <row r="109" spans="1:36" s="184" customFormat="1" x14ac:dyDescent="0.25">
      <c r="A109" s="695" t="s">
        <v>75</v>
      </c>
      <c r="B109" s="681" t="s">
        <v>189</v>
      </c>
      <c r="C109" s="245" t="s">
        <v>1639</v>
      </c>
      <c r="D109" s="269"/>
      <c r="E109" s="757"/>
      <c r="F109" s="544"/>
      <c r="G109" s="757"/>
      <c r="H109" s="269">
        <v>40.369999999999997</v>
      </c>
      <c r="I109" s="757">
        <v>22</v>
      </c>
      <c r="J109" s="245"/>
      <c r="K109" s="245"/>
      <c r="L109" s="245"/>
    </row>
    <row r="110" spans="1:36" s="184" customFormat="1" x14ac:dyDescent="0.25">
      <c r="A110" s="695" t="s">
        <v>76</v>
      </c>
      <c r="B110" s="681" t="s">
        <v>169</v>
      </c>
      <c r="C110" s="245" t="s">
        <v>1639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77</v>
      </c>
      <c r="B111" s="681" t="s">
        <v>168</v>
      </c>
      <c r="C111" s="245" t="s">
        <v>1639</v>
      </c>
      <c r="D111" s="269"/>
      <c r="E111" s="757"/>
      <c r="F111" s="544"/>
      <c r="G111" s="757"/>
      <c r="H111" s="269">
        <v>109.93</v>
      </c>
      <c r="I111" s="757">
        <v>143</v>
      </c>
      <c r="J111" s="245"/>
      <c r="K111" s="245"/>
      <c r="L111" s="245"/>
    </row>
    <row r="112" spans="1:36" s="184" customFormat="1" x14ac:dyDescent="0.25">
      <c r="A112" s="695" t="s">
        <v>78</v>
      </c>
      <c r="B112" s="681" t="s">
        <v>197</v>
      </c>
      <c r="C112" s="245" t="s">
        <v>1639</v>
      </c>
      <c r="D112" s="269"/>
      <c r="E112" s="757"/>
      <c r="F112" s="544"/>
      <c r="G112" s="757"/>
      <c r="H112" s="269">
        <v>74.010000000000005</v>
      </c>
      <c r="I112" s="757">
        <v>85</v>
      </c>
      <c r="J112" s="245"/>
      <c r="K112" s="245"/>
      <c r="L112" s="245"/>
    </row>
    <row r="113" spans="1:12" s="184" customFormat="1" x14ac:dyDescent="0.25">
      <c r="A113" s="695" t="s">
        <v>79</v>
      </c>
      <c r="B113" s="681" t="s">
        <v>167</v>
      </c>
      <c r="C113" s="289" t="s">
        <v>1639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772" t="s">
        <v>80</v>
      </c>
      <c r="B114" s="773" t="s">
        <v>177</v>
      </c>
      <c r="C114" s="774" t="s">
        <v>1639</v>
      </c>
      <c r="D114" s="242"/>
      <c r="E114" s="749"/>
      <c r="F114" s="542"/>
      <c r="G114" s="749"/>
      <c r="H114" s="242">
        <v>39.299999999999997</v>
      </c>
      <c r="I114" s="749">
        <v>0</v>
      </c>
      <c r="J114" s="240"/>
      <c r="K114" s="245"/>
      <c r="L114" s="245"/>
    </row>
    <row r="115" spans="1:12" s="184" customFormat="1" x14ac:dyDescent="0.25">
      <c r="A115" s="695" t="s">
        <v>81</v>
      </c>
      <c r="B115" s="681" t="s">
        <v>180</v>
      </c>
      <c r="C115" s="245" t="s">
        <v>1639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82</v>
      </c>
      <c r="B116" s="681" t="s">
        <v>179</v>
      </c>
      <c r="C116" s="245" t="s">
        <v>1639</v>
      </c>
      <c r="D116" s="269"/>
      <c r="E116" s="757"/>
      <c r="F116" s="544"/>
      <c r="G116" s="757"/>
      <c r="H116" s="269">
        <v>39.299999999999997</v>
      </c>
      <c r="I116" s="757">
        <v>3</v>
      </c>
      <c r="J116" s="245"/>
      <c r="K116" s="245"/>
      <c r="L116" s="245"/>
    </row>
    <row r="117" spans="1:12" s="184" customFormat="1" x14ac:dyDescent="0.25">
      <c r="A117" s="695" t="s">
        <v>83</v>
      </c>
      <c r="B117" s="681" t="s">
        <v>178</v>
      </c>
      <c r="C117" s="245" t="s">
        <v>1639</v>
      </c>
      <c r="D117" s="269"/>
      <c r="E117" s="757"/>
      <c r="F117" s="544"/>
      <c r="G117" s="757"/>
      <c r="H117" s="269">
        <v>39.299999999999997</v>
      </c>
      <c r="I117" s="757">
        <v>7</v>
      </c>
      <c r="J117" s="245"/>
      <c r="K117" s="245"/>
      <c r="L117" s="245"/>
    </row>
    <row r="118" spans="1:12" s="184" customFormat="1" x14ac:dyDescent="0.25">
      <c r="A118" s="695" t="s">
        <v>84</v>
      </c>
      <c r="B118" s="681" t="s">
        <v>175</v>
      </c>
      <c r="C118" s="289" t="s">
        <v>1639</v>
      </c>
      <c r="D118" s="269"/>
      <c r="E118" s="757"/>
      <c r="F118" s="544"/>
      <c r="G118" s="757"/>
      <c r="H118" s="269">
        <v>39.299999999999997</v>
      </c>
      <c r="I118" s="757">
        <v>4</v>
      </c>
      <c r="J118" s="245"/>
      <c r="K118" s="245"/>
      <c r="L118" s="245"/>
    </row>
    <row r="119" spans="1:12" s="184" customFormat="1" x14ac:dyDescent="0.25">
      <c r="A119" s="695" t="s">
        <v>85</v>
      </c>
      <c r="B119" s="681" t="s">
        <v>184</v>
      </c>
      <c r="C119" s="245" t="s">
        <v>1639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86</v>
      </c>
      <c r="B120" s="681" t="s">
        <v>185</v>
      </c>
      <c r="C120" s="245" t="s">
        <v>1639</v>
      </c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x14ac:dyDescent="0.25">
      <c r="A121" s="695" t="s">
        <v>87</v>
      </c>
      <c r="B121" s="681" t="s">
        <v>181</v>
      </c>
      <c r="C121" s="245" t="s">
        <v>1639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88</v>
      </c>
      <c r="B122" s="681" t="s">
        <v>172</v>
      </c>
      <c r="C122" s="289" t="s">
        <v>1639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89</v>
      </c>
      <c r="B123" s="681" t="s">
        <v>173</v>
      </c>
      <c r="C123" s="245" t="s">
        <v>1639</v>
      </c>
      <c r="D123" s="269"/>
      <c r="E123" s="757"/>
      <c r="F123" s="544"/>
      <c r="G123" s="757"/>
      <c r="H123" s="269">
        <v>46.78</v>
      </c>
      <c r="I123" s="757">
        <v>37</v>
      </c>
      <c r="J123" s="245"/>
      <c r="K123" s="245"/>
      <c r="L123" s="245"/>
    </row>
    <row r="124" spans="1:12" s="184" customFormat="1" x14ac:dyDescent="0.25">
      <c r="A124" s="695" t="s">
        <v>90</v>
      </c>
      <c r="B124" s="681" t="s">
        <v>174</v>
      </c>
      <c r="C124" s="245" t="s">
        <v>1639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91</v>
      </c>
      <c r="B125" s="681" t="s">
        <v>182</v>
      </c>
      <c r="C125" s="245" t="s">
        <v>1639</v>
      </c>
      <c r="D125" s="269"/>
      <c r="E125" s="757"/>
      <c r="F125" s="544"/>
      <c r="G125" s="757"/>
      <c r="H125" s="269">
        <v>39.299999999999997</v>
      </c>
      <c r="I125" s="757">
        <v>7</v>
      </c>
      <c r="J125" s="245"/>
      <c r="K125" s="245"/>
      <c r="L125" s="245"/>
    </row>
    <row r="126" spans="1:12" s="184" customFormat="1" x14ac:dyDescent="0.25">
      <c r="A126" s="695" t="s">
        <v>92</v>
      </c>
      <c r="B126" s="681" t="s">
        <v>186</v>
      </c>
      <c r="C126" s="245" t="s">
        <v>1639</v>
      </c>
      <c r="D126" s="269"/>
      <c r="E126" s="757"/>
      <c r="F126" s="544"/>
      <c r="G126" s="757"/>
      <c r="H126" s="269">
        <v>39.299999999999997</v>
      </c>
      <c r="I126" s="757">
        <v>1</v>
      </c>
      <c r="J126" s="245"/>
      <c r="K126" s="245"/>
      <c r="L126" s="245"/>
    </row>
    <row r="127" spans="1:12" s="184" customFormat="1" x14ac:dyDescent="0.25">
      <c r="A127" s="695" t="s">
        <v>93</v>
      </c>
      <c r="B127" s="681" t="s">
        <v>183</v>
      </c>
      <c r="C127" s="245" t="s">
        <v>1639</v>
      </c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103</v>
      </c>
      <c r="B128" s="681" t="s">
        <v>194</v>
      </c>
      <c r="C128" s="245" t="s">
        <v>1639</v>
      </c>
      <c r="D128" s="269"/>
      <c r="E128" s="757"/>
      <c r="F128" s="544"/>
      <c r="G128" s="757"/>
      <c r="H128" s="269">
        <v>39.299999999999997</v>
      </c>
      <c r="I128" s="757">
        <v>2</v>
      </c>
      <c r="J128" s="245"/>
      <c r="K128" s="245"/>
      <c r="L128" s="245"/>
    </row>
    <row r="129" spans="1:12" s="184" customFormat="1" ht="26.25" x14ac:dyDescent="0.25">
      <c r="A129" s="695" t="s">
        <v>983</v>
      </c>
      <c r="B129" s="681" t="s">
        <v>981</v>
      </c>
      <c r="C129" s="245" t="s">
        <v>1639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/>
      <c r="K129" s="245"/>
      <c r="L129" s="245"/>
    </row>
    <row r="130" spans="1:12" s="184" customFormat="1" x14ac:dyDescent="0.25">
      <c r="A130" s="695" t="s">
        <v>980</v>
      </c>
      <c r="B130" s="681" t="s">
        <v>196</v>
      </c>
      <c r="C130" s="245" t="s">
        <v>1639</v>
      </c>
      <c r="D130" s="269"/>
      <c r="E130" s="757"/>
      <c r="F130" s="544"/>
      <c r="G130" s="757"/>
      <c r="H130" s="269">
        <v>126.05</v>
      </c>
      <c r="I130" s="757">
        <v>106</v>
      </c>
      <c r="J130" s="245"/>
      <c r="K130" s="245"/>
      <c r="L130" s="245"/>
    </row>
    <row r="131" spans="1:12" s="184" customFormat="1" x14ac:dyDescent="0.25">
      <c r="A131" s="695" t="s">
        <v>1076</v>
      </c>
      <c r="B131" s="681" t="s">
        <v>166</v>
      </c>
      <c r="C131" s="245" t="s">
        <v>1639</v>
      </c>
      <c r="D131" s="269"/>
      <c r="E131" s="757"/>
      <c r="F131" s="544"/>
      <c r="G131" s="757"/>
      <c r="H131" s="269">
        <v>42.5</v>
      </c>
      <c r="I131" s="757">
        <v>26</v>
      </c>
      <c r="J131" s="245"/>
      <c r="K131" s="245"/>
      <c r="L131" s="245"/>
    </row>
    <row r="132" spans="1:12" s="184" customFormat="1" x14ac:dyDescent="0.25">
      <c r="A132" s="695" t="s">
        <v>1077</v>
      </c>
      <c r="B132" s="681" t="s">
        <v>193</v>
      </c>
      <c r="C132" s="245" t="s">
        <v>1639</v>
      </c>
      <c r="D132" s="269"/>
      <c r="E132" s="757"/>
      <c r="F132" s="544"/>
      <c r="G132" s="757"/>
      <c r="H132" s="269">
        <v>39.299999999999997</v>
      </c>
      <c r="I132" s="757">
        <v>14</v>
      </c>
      <c r="J132" s="245"/>
      <c r="K132" s="245"/>
      <c r="L132" s="245"/>
    </row>
    <row r="133" spans="1:12" s="184" customFormat="1" x14ac:dyDescent="0.25">
      <c r="A133" s="695" t="s">
        <v>1075</v>
      </c>
      <c r="B133" s="681" t="s">
        <v>192</v>
      </c>
      <c r="C133" s="245" t="s">
        <v>1639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12" s="184" customFormat="1" x14ac:dyDescent="0.25">
      <c r="A134" s="695" t="s">
        <v>1066</v>
      </c>
      <c r="B134" s="681" t="s">
        <v>139</v>
      </c>
      <c r="C134" s="245" t="s">
        <v>1654</v>
      </c>
      <c r="D134" s="269"/>
      <c r="E134" s="757"/>
      <c r="F134" s="544"/>
      <c r="G134" s="757"/>
      <c r="H134" s="269">
        <v>76.150000000000006</v>
      </c>
      <c r="I134" s="757">
        <v>89</v>
      </c>
      <c r="J134" s="245"/>
      <c r="K134" s="245"/>
      <c r="L134" s="245"/>
    </row>
    <row r="135" spans="1:12" s="184" customFormat="1" x14ac:dyDescent="0.25">
      <c r="A135" s="695" t="s">
        <v>64</v>
      </c>
      <c r="B135" s="681" t="s">
        <v>191</v>
      </c>
      <c r="C135" s="289"/>
      <c r="D135" s="269"/>
      <c r="E135" s="757"/>
      <c r="F135" s="544"/>
      <c r="G135" s="757"/>
      <c r="H135" s="269"/>
      <c r="I135" s="757"/>
      <c r="J135" s="245"/>
      <c r="K135" s="245"/>
      <c r="L135" s="245"/>
    </row>
    <row r="136" spans="1:12" s="184" customFormat="1" x14ac:dyDescent="0.25">
      <c r="A136" s="695" t="s">
        <v>1093</v>
      </c>
      <c r="B136" s="681" t="s">
        <v>131</v>
      </c>
      <c r="C136" s="245" t="s">
        <v>1654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12" s="184" customFormat="1" x14ac:dyDescent="0.25">
      <c r="A137" s="695" t="s">
        <v>1092</v>
      </c>
      <c r="B137" s="681" t="s">
        <v>133</v>
      </c>
      <c r="C137" s="245" t="s">
        <v>1654</v>
      </c>
      <c r="D137" s="269"/>
      <c r="E137" s="757"/>
      <c r="F137" s="544"/>
      <c r="G137" s="757"/>
      <c r="H137" s="269">
        <v>39.299999999999997</v>
      </c>
      <c r="I137" s="757">
        <v>4</v>
      </c>
      <c r="J137" s="245"/>
      <c r="K137" s="245"/>
      <c r="L137" s="245"/>
    </row>
    <row r="138" spans="1:12" s="184" customFormat="1" x14ac:dyDescent="0.25">
      <c r="A138" s="761" t="s">
        <v>309</v>
      </c>
      <c r="B138" s="681" t="s">
        <v>135</v>
      </c>
      <c r="C138" s="245" t="s">
        <v>1654</v>
      </c>
      <c r="D138" s="269"/>
      <c r="E138" s="757"/>
      <c r="F138" s="544"/>
      <c r="G138" s="757"/>
      <c r="H138" s="269">
        <v>4397.3</v>
      </c>
      <c r="I138" s="757">
        <v>5775</v>
      </c>
      <c r="J138" s="245"/>
      <c r="K138" s="245"/>
      <c r="L138" s="245"/>
    </row>
    <row r="139" spans="1:12" s="184" customFormat="1" x14ac:dyDescent="0.25">
      <c r="A139" s="761" t="s">
        <v>1091</v>
      </c>
      <c r="B139" s="681" t="s">
        <v>138</v>
      </c>
      <c r="C139" s="245" t="s">
        <v>1654</v>
      </c>
      <c r="D139" s="269"/>
      <c r="E139" s="757"/>
      <c r="F139" s="544"/>
      <c r="G139" s="757"/>
      <c r="H139" s="269">
        <v>39.299999999999997</v>
      </c>
      <c r="I139" s="757">
        <v>0</v>
      </c>
      <c r="J139" s="245"/>
      <c r="K139" s="245"/>
      <c r="L139" s="245"/>
    </row>
    <row r="140" spans="1:12" s="184" customFormat="1" x14ac:dyDescent="0.25">
      <c r="A140" s="695" t="s">
        <v>1090</v>
      </c>
      <c r="B140" s="681" t="s">
        <v>141</v>
      </c>
      <c r="C140" s="245" t="s">
        <v>1654</v>
      </c>
      <c r="D140" s="269"/>
      <c r="E140" s="757"/>
      <c r="F140" s="544"/>
      <c r="G140" s="757"/>
      <c r="H140" s="269">
        <v>39.299999999999997</v>
      </c>
      <c r="I140" s="757">
        <v>0</v>
      </c>
      <c r="J140" s="245"/>
      <c r="K140" s="245"/>
      <c r="L140" s="245"/>
    </row>
    <row r="141" spans="1:12" s="184" customFormat="1" x14ac:dyDescent="0.25">
      <c r="A141" s="695" t="s">
        <v>1089</v>
      </c>
      <c r="B141" s="681" t="s">
        <v>143</v>
      </c>
      <c r="C141" s="289" t="s">
        <v>1654</v>
      </c>
      <c r="D141" s="269"/>
      <c r="E141" s="757"/>
      <c r="F141" s="544"/>
      <c r="G141" s="757"/>
      <c r="H141" s="269">
        <v>54.79</v>
      </c>
      <c r="I141" s="757">
        <v>49</v>
      </c>
      <c r="J141" s="245"/>
      <c r="K141" s="245"/>
      <c r="L141" s="245"/>
    </row>
    <row r="142" spans="1:12" s="184" customFormat="1" x14ac:dyDescent="0.25">
      <c r="A142" s="695" t="s">
        <v>1088</v>
      </c>
      <c r="B142" s="681" t="s">
        <v>145</v>
      </c>
      <c r="C142" s="245" t="s">
        <v>1654</v>
      </c>
      <c r="D142" s="269"/>
      <c r="E142" s="757"/>
      <c r="F142" s="544"/>
      <c r="G142" s="757"/>
      <c r="H142" s="269">
        <v>102.79</v>
      </c>
      <c r="I142" s="757">
        <v>132</v>
      </c>
      <c r="J142" s="245"/>
      <c r="K142" s="245"/>
      <c r="L142" s="245"/>
    </row>
    <row r="143" spans="1:12" s="184" customFormat="1" x14ac:dyDescent="0.25">
      <c r="A143" s="695" t="s">
        <v>1086</v>
      </c>
      <c r="B143" s="681" t="s">
        <v>147</v>
      </c>
      <c r="C143" s="245" t="s">
        <v>1654</v>
      </c>
      <c r="D143" s="269"/>
      <c r="E143" s="757"/>
      <c r="F143" s="544"/>
      <c r="G143" s="757"/>
      <c r="H143" s="269">
        <v>64.930000000000007</v>
      </c>
      <c r="I143" s="757">
        <v>68</v>
      </c>
      <c r="J143" s="245"/>
      <c r="K143" s="245"/>
      <c r="L143" s="245"/>
    </row>
    <row r="144" spans="1:12" s="184" customFormat="1" x14ac:dyDescent="0.25">
      <c r="A144" s="695" t="s">
        <v>176</v>
      </c>
      <c r="B144" s="759" t="s">
        <v>165</v>
      </c>
      <c r="C144" s="245" t="s">
        <v>1654</v>
      </c>
      <c r="D144" s="269"/>
      <c r="E144" s="757"/>
      <c r="F144" s="544"/>
      <c r="G144" s="757"/>
      <c r="H144" s="269">
        <v>62.8</v>
      </c>
      <c r="I144" s="757">
        <v>64</v>
      </c>
      <c r="J144" s="245"/>
      <c r="K144" s="245"/>
      <c r="L144" s="245"/>
    </row>
    <row r="145" spans="1:88" s="199" customFormat="1" x14ac:dyDescent="0.25">
      <c r="A145" s="698" t="s">
        <v>433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x14ac:dyDescent="0.25">
      <c r="A146" s="695" t="s">
        <v>107</v>
      </c>
      <c r="B146" s="681">
        <v>67</v>
      </c>
      <c r="C146" s="289" t="s">
        <v>1641</v>
      </c>
      <c r="D146" s="269"/>
      <c r="E146" s="757"/>
      <c r="F146" s="544"/>
      <c r="G146" s="757"/>
      <c r="H146" s="269">
        <v>50</v>
      </c>
      <c r="I146" s="757">
        <v>0</v>
      </c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x14ac:dyDescent="0.25">
      <c r="A147" s="695" t="s">
        <v>109</v>
      </c>
      <c r="B147" s="775">
        <v>95</v>
      </c>
      <c r="C147" s="245" t="s">
        <v>1641</v>
      </c>
      <c r="D147" s="269"/>
      <c r="E147" s="757"/>
      <c r="F147" s="544"/>
      <c r="G147" s="757"/>
      <c r="H147" s="269">
        <v>60</v>
      </c>
      <c r="I147" s="757">
        <v>400</v>
      </c>
      <c r="J147" s="245"/>
      <c r="K147" s="245"/>
      <c r="L147" s="245"/>
    </row>
    <row r="148" spans="1:88" s="199" customFormat="1" x14ac:dyDescent="0.25">
      <c r="A148" s="694" t="s">
        <v>432</v>
      </c>
      <c r="B148" s="691"/>
      <c r="C148" s="249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1137</v>
      </c>
      <c r="B149" s="759">
        <v>61</v>
      </c>
      <c r="C149" s="289">
        <v>43899</v>
      </c>
      <c r="D149" s="269"/>
      <c r="E149" s="757"/>
      <c r="F149" s="544"/>
      <c r="G149" s="757"/>
      <c r="H149" s="269">
        <v>35</v>
      </c>
      <c r="I149" s="757">
        <v>0</v>
      </c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99" customFormat="1" x14ac:dyDescent="0.25">
      <c r="A150" s="698" t="s">
        <v>431</v>
      </c>
      <c r="B150" s="690"/>
      <c r="C150" s="249"/>
      <c r="D150" s="250"/>
      <c r="E150" s="750"/>
      <c r="F150" s="543"/>
      <c r="G150" s="750"/>
      <c r="H150" s="250"/>
      <c r="I150" s="750"/>
      <c r="J150" s="249"/>
      <c r="K150" s="249"/>
      <c r="L150" s="249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ht="26.25" x14ac:dyDescent="0.25">
      <c r="A151" s="695" t="s">
        <v>40</v>
      </c>
      <c r="B151" s="759">
        <v>95</v>
      </c>
      <c r="C151" s="289" t="s">
        <v>1642</v>
      </c>
      <c r="D151" s="269"/>
      <c r="E151" s="757"/>
      <c r="F151" s="544"/>
      <c r="G151" s="757"/>
      <c r="H151" s="269">
        <v>47.1</v>
      </c>
      <c r="I151" s="757">
        <v>4200</v>
      </c>
      <c r="J151" s="245"/>
      <c r="K151" s="245"/>
      <c r="L151" s="245"/>
    </row>
    <row r="152" spans="1:88" s="199" customFormat="1" ht="26.25" x14ac:dyDescent="0.25">
      <c r="A152" s="698" t="s">
        <v>430</v>
      </c>
      <c r="B152" s="690" t="s">
        <v>356</v>
      </c>
      <c r="C152" s="303"/>
      <c r="D152" s="250"/>
      <c r="E152" s="750"/>
      <c r="F152" s="543"/>
      <c r="G152" s="750"/>
      <c r="H152" s="250"/>
      <c r="I152" s="750"/>
      <c r="J152" s="249"/>
      <c r="K152" s="249"/>
      <c r="L152" s="24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49" customFormat="1" x14ac:dyDescent="0.25">
      <c r="A153" s="695" t="s">
        <v>355</v>
      </c>
      <c r="B153" s="692"/>
      <c r="C153" s="289" t="s">
        <v>1655</v>
      </c>
      <c r="D153" s="269"/>
      <c r="E153" s="757"/>
      <c r="F153" s="544"/>
      <c r="G153" s="757"/>
      <c r="H153" s="269">
        <v>154.79</v>
      </c>
      <c r="I153" s="757">
        <v>269260</v>
      </c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</row>
    <row r="154" spans="1:88" s="359" customFormat="1" ht="46.5" customHeight="1" x14ac:dyDescent="0.25">
      <c r="A154" s="715"/>
      <c r="B154" s="715"/>
      <c r="C154" s="355"/>
      <c r="D154" s="356"/>
      <c r="E154" s="758"/>
      <c r="F154" s="717"/>
      <c r="G154" s="758"/>
      <c r="H154" s="356"/>
      <c r="I154" s="758"/>
      <c r="J154" s="718"/>
      <c r="K154" s="355"/>
      <c r="L154" s="355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</sheetData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22" sqref="G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1637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73"/>
      <c r="B4" s="874"/>
      <c r="C4" s="874"/>
      <c r="D4" s="874"/>
      <c r="E4" s="874"/>
      <c r="F4" s="874"/>
      <c r="G4" s="87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204590</v>
      </c>
      <c r="D13" s="34"/>
      <c r="E13" s="35" t="s">
        <v>33</v>
      </c>
      <c r="F13" s="34"/>
      <c r="G13" s="42">
        <v>18693.060000000001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8482</v>
      </c>
      <c r="D15" s="34"/>
      <c r="E15" s="35" t="s">
        <v>10</v>
      </c>
      <c r="F15" s="34"/>
      <c r="G15" s="42">
        <v>5350.96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6767</v>
      </c>
      <c r="D17" s="34"/>
      <c r="E17" s="35" t="s">
        <v>278</v>
      </c>
      <c r="F17" s="34"/>
      <c r="G17" s="42">
        <v>1630.11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02"/>
  <sheetViews>
    <sheetView zoomScale="115" zoomScaleNormal="115" workbookViewId="0">
      <pane ySplit="2" topLeftCell="A45" activePane="bottomLeft" state="frozen"/>
      <selection pane="bottomLeft" activeCell="A55" sqref="A5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1539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1539</v>
      </c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1538</v>
      </c>
      <c r="D5" s="328"/>
      <c r="E5" s="763"/>
      <c r="F5" s="620">
        <v>354.72</v>
      </c>
      <c r="G5" s="763">
        <v>554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1541</v>
      </c>
      <c r="D6" s="269"/>
      <c r="E6" s="757"/>
      <c r="F6" s="544">
        <v>261.89</v>
      </c>
      <c r="G6" s="757">
        <v>391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1537</v>
      </c>
      <c r="D7" s="269"/>
      <c r="E7" s="757"/>
      <c r="F7" s="544">
        <v>135.34</v>
      </c>
      <c r="G7" s="757">
        <v>165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1537</v>
      </c>
      <c r="D8" s="269"/>
      <c r="E8" s="757"/>
      <c r="F8" s="544">
        <v>67.61</v>
      </c>
      <c r="G8" s="757">
        <v>36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1539</v>
      </c>
      <c r="D9" s="269"/>
      <c r="E9" s="757"/>
      <c r="F9" s="544">
        <v>503.48</v>
      </c>
      <c r="G9" s="757">
        <v>833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1540</v>
      </c>
      <c r="D10" s="269"/>
      <c r="E10" s="757"/>
      <c r="F10" s="544">
        <v>315.25</v>
      </c>
      <c r="G10" s="757">
        <v>492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1540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1537</v>
      </c>
      <c r="D12" s="269"/>
      <c r="E12" s="757"/>
      <c r="F12" s="544">
        <v>48.76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1539</v>
      </c>
      <c r="D13" s="269"/>
      <c r="E13" s="757"/>
      <c r="F13" s="544">
        <v>60.3</v>
      </c>
      <c r="G13" s="757">
        <v>20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1539</v>
      </c>
      <c r="D14" s="269"/>
      <c r="E14" s="757"/>
      <c r="F14" s="544">
        <v>1082.4100000000001</v>
      </c>
      <c r="G14" s="757">
        <v>1895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1541</v>
      </c>
      <c r="D15" s="269"/>
      <c r="E15" s="757"/>
      <c r="F15" s="544">
        <v>116.79</v>
      </c>
      <c r="G15" s="757">
        <v>124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1544</v>
      </c>
      <c r="D17" s="269"/>
      <c r="E17" s="757"/>
      <c r="F17" s="544">
        <v>117.82</v>
      </c>
      <c r="G17" s="757">
        <v>143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1544</v>
      </c>
      <c r="D18" s="269"/>
      <c r="E18" s="757"/>
      <c r="F18" s="544">
        <v>110.31</v>
      </c>
      <c r="G18" s="757">
        <v>124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64"/>
      <c r="D20" s="865"/>
      <c r="E20" s="866"/>
      <c r="F20" s="867"/>
      <c r="G20" s="866"/>
      <c r="H20" s="865"/>
      <c r="I20" s="866"/>
      <c r="J20" s="864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868"/>
      <c r="D21" s="869"/>
      <c r="E21" s="870"/>
      <c r="F21" s="871"/>
      <c r="G21" s="870"/>
      <c r="H21" s="869"/>
      <c r="I21" s="870"/>
      <c r="J21" s="868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868"/>
      <c r="D22" s="869"/>
      <c r="E22" s="870"/>
      <c r="F22" s="871"/>
      <c r="G22" s="870"/>
      <c r="H22" s="869"/>
      <c r="I22" s="870"/>
      <c r="J22" s="868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868"/>
      <c r="D23" s="869"/>
      <c r="E23" s="870"/>
      <c r="F23" s="871"/>
      <c r="G23" s="870"/>
      <c r="H23" s="869"/>
      <c r="I23" s="870"/>
      <c r="J23" s="868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868"/>
      <c r="D24" s="869"/>
      <c r="E24" s="870"/>
      <c r="F24" s="871"/>
      <c r="G24" s="870"/>
      <c r="H24" s="869"/>
      <c r="I24" s="870"/>
      <c r="J24" s="868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868"/>
      <c r="D25" s="869"/>
      <c r="E25" s="870"/>
      <c r="F25" s="871"/>
      <c r="G25" s="870"/>
      <c r="H25" s="869"/>
      <c r="I25" s="870"/>
      <c r="J25" s="868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868"/>
      <c r="D26" s="869"/>
      <c r="E26" s="870"/>
      <c r="F26" s="871"/>
      <c r="G26" s="870"/>
      <c r="H26" s="869"/>
      <c r="I26" s="870"/>
      <c r="J26" s="868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868"/>
      <c r="D27" s="869"/>
      <c r="E27" s="870"/>
      <c r="F27" s="871"/>
      <c r="G27" s="870"/>
      <c r="H27" s="869"/>
      <c r="I27" s="870"/>
      <c r="J27" s="868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868"/>
      <c r="D28" s="869"/>
      <c r="E28" s="870"/>
      <c r="F28" s="871"/>
      <c r="G28" s="870"/>
      <c r="H28" s="869"/>
      <c r="I28" s="870"/>
      <c r="J28" s="868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868"/>
      <c r="D29" s="869"/>
      <c r="E29" s="870"/>
      <c r="F29" s="871"/>
      <c r="G29" s="870"/>
      <c r="H29" s="869"/>
      <c r="I29" s="870"/>
      <c r="J29" s="868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868"/>
      <c r="D30" s="869"/>
      <c r="E30" s="870"/>
      <c r="F30" s="871"/>
      <c r="G30" s="870"/>
      <c r="H30" s="869"/>
      <c r="I30" s="870"/>
      <c r="J30" s="868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868"/>
      <c r="D31" s="869"/>
      <c r="E31" s="870"/>
      <c r="F31" s="871"/>
      <c r="G31" s="870"/>
      <c r="H31" s="869"/>
      <c r="I31" s="870"/>
      <c r="J31" s="868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868"/>
      <c r="D32" s="869"/>
      <c r="E32" s="870"/>
      <c r="F32" s="871"/>
      <c r="G32" s="870"/>
      <c r="H32" s="869"/>
      <c r="I32" s="870"/>
      <c r="J32" s="868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868"/>
      <c r="D33" s="869"/>
      <c r="E33" s="870"/>
      <c r="F33" s="871"/>
      <c r="G33" s="870"/>
      <c r="H33" s="869"/>
      <c r="I33" s="870"/>
      <c r="J33" s="868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868"/>
      <c r="D34" s="869"/>
      <c r="E34" s="870"/>
      <c r="F34" s="871"/>
      <c r="G34" s="870"/>
      <c r="H34" s="869"/>
      <c r="I34" s="870"/>
      <c r="J34" s="868"/>
      <c r="K34" s="863" t="s">
        <v>792</v>
      </c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868"/>
      <c r="D35" s="869"/>
      <c r="E35" s="870"/>
      <c r="F35" s="871"/>
      <c r="G35" s="870"/>
      <c r="H35" s="869"/>
      <c r="I35" s="870"/>
      <c r="J35" s="868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868"/>
      <c r="D36" s="869"/>
      <c r="E36" s="870"/>
      <c r="F36" s="871"/>
      <c r="G36" s="870"/>
      <c r="H36" s="869"/>
      <c r="I36" s="870"/>
      <c r="J36" s="868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868"/>
      <c r="D37" s="869"/>
      <c r="E37" s="870"/>
      <c r="F37" s="871"/>
      <c r="G37" s="870"/>
      <c r="H37" s="869"/>
      <c r="I37" s="870"/>
      <c r="J37" s="868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868"/>
      <c r="D38" s="869"/>
      <c r="E38" s="870"/>
      <c r="F38" s="871"/>
      <c r="G38" s="870"/>
      <c r="H38" s="869"/>
      <c r="I38" s="870"/>
      <c r="J38" s="868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868"/>
      <c r="D39" s="869"/>
      <c r="E39" s="870"/>
      <c r="F39" s="871"/>
      <c r="G39" s="870"/>
      <c r="H39" s="869"/>
      <c r="I39" s="870"/>
      <c r="J39" s="868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868"/>
      <c r="D40" s="869"/>
      <c r="E40" s="870"/>
      <c r="F40" s="871"/>
      <c r="G40" s="870"/>
      <c r="H40" s="869"/>
      <c r="I40" s="870"/>
      <c r="J40" s="868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868"/>
      <c r="D41" s="869"/>
      <c r="E41" s="870"/>
      <c r="F41" s="871"/>
      <c r="G41" s="870"/>
      <c r="H41" s="869"/>
      <c r="I41" s="870"/>
      <c r="J41" s="868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868"/>
      <c r="D42" s="869"/>
      <c r="E42" s="870"/>
      <c r="F42" s="871"/>
      <c r="G42" s="870"/>
      <c r="H42" s="869"/>
      <c r="I42" s="870"/>
      <c r="J42" s="868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868"/>
      <c r="D43" s="869"/>
      <c r="E43" s="870"/>
      <c r="F43" s="871"/>
      <c r="G43" s="870"/>
      <c r="H43" s="869"/>
      <c r="I43" s="870"/>
      <c r="J43" s="868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868"/>
      <c r="D44" s="869"/>
      <c r="E44" s="870"/>
      <c r="F44" s="871"/>
      <c r="G44" s="870"/>
      <c r="H44" s="869"/>
      <c r="I44" s="870"/>
      <c r="J44" s="868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868"/>
      <c r="D45" s="869"/>
      <c r="E45" s="870"/>
      <c r="F45" s="871"/>
      <c r="G45" s="870"/>
      <c r="H45" s="869"/>
      <c r="I45" s="870"/>
      <c r="J45" s="868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868"/>
      <c r="D46" s="869"/>
      <c r="E46" s="870"/>
      <c r="F46" s="871"/>
      <c r="G46" s="870"/>
      <c r="H46" s="869"/>
      <c r="I46" s="870"/>
      <c r="J46" s="868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868"/>
      <c r="D47" s="869"/>
      <c r="E47" s="870"/>
      <c r="F47" s="871"/>
      <c r="G47" s="870"/>
      <c r="H47" s="869"/>
      <c r="I47" s="870"/>
      <c r="J47" s="868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868"/>
      <c r="D48" s="869"/>
      <c r="E48" s="870"/>
      <c r="F48" s="871"/>
      <c r="G48" s="870"/>
      <c r="H48" s="869"/>
      <c r="I48" s="870"/>
      <c r="J48" s="868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868"/>
      <c r="D49" s="869"/>
      <c r="E49" s="870"/>
      <c r="F49" s="871"/>
      <c r="G49" s="870"/>
      <c r="H49" s="869"/>
      <c r="I49" s="870"/>
      <c r="J49" s="868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868"/>
      <c r="D50" s="869"/>
      <c r="E50" s="870"/>
      <c r="F50" s="871"/>
      <c r="G50" s="870"/>
      <c r="H50" s="869"/>
      <c r="I50" s="870"/>
      <c r="J50" s="868"/>
      <c r="K50" s="546" t="s">
        <v>807</v>
      </c>
      <c r="L50" s="546"/>
    </row>
    <row r="51" spans="1:12" s="619" customFormat="1" ht="15.75" x14ac:dyDescent="0.25">
      <c r="A51" s="686" t="s">
        <v>852</v>
      </c>
      <c r="B51" s="686">
        <v>5216006471</v>
      </c>
      <c r="C51" s="868"/>
      <c r="D51" s="869"/>
      <c r="E51" s="870"/>
      <c r="F51" s="871"/>
      <c r="G51" s="870"/>
      <c r="H51" s="869"/>
      <c r="I51" s="870"/>
      <c r="J51" s="868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868"/>
      <c r="D52" s="869"/>
      <c r="E52" s="870"/>
      <c r="F52" s="871"/>
      <c r="G52" s="870"/>
      <c r="H52" s="869"/>
      <c r="I52" s="870"/>
      <c r="J52" s="868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868"/>
      <c r="D53" s="869"/>
      <c r="E53" s="870"/>
      <c r="F53" s="871"/>
      <c r="G53" s="870"/>
      <c r="H53" s="869"/>
      <c r="I53" s="870"/>
      <c r="J53" s="868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868"/>
      <c r="D54" s="869"/>
      <c r="E54" s="870"/>
      <c r="F54" s="871"/>
      <c r="G54" s="870"/>
      <c r="H54" s="869"/>
      <c r="I54" s="870"/>
      <c r="J54" s="868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868"/>
      <c r="D55" s="869"/>
      <c r="E55" s="870"/>
      <c r="F55" s="871"/>
      <c r="G55" s="870"/>
      <c r="H55" s="869"/>
      <c r="I55" s="870"/>
      <c r="J55" s="868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868"/>
      <c r="D56" s="869"/>
      <c r="E56" s="870"/>
      <c r="F56" s="871"/>
      <c r="G56" s="870"/>
      <c r="H56" s="869"/>
      <c r="I56" s="870"/>
      <c r="J56" s="868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868"/>
      <c r="D57" s="869"/>
      <c r="E57" s="870"/>
      <c r="F57" s="871"/>
      <c r="G57" s="870"/>
      <c r="H57" s="869"/>
      <c r="I57" s="870"/>
      <c r="J57" s="868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868"/>
      <c r="D58" s="869"/>
      <c r="E58" s="870"/>
      <c r="F58" s="871"/>
      <c r="G58" s="870"/>
      <c r="H58" s="869"/>
      <c r="I58" s="870"/>
      <c r="J58" s="868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868"/>
      <c r="D59" s="869"/>
      <c r="E59" s="870"/>
      <c r="F59" s="871"/>
      <c r="G59" s="870"/>
      <c r="H59" s="869"/>
      <c r="I59" s="870"/>
      <c r="J59" s="868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868"/>
      <c r="D60" s="869"/>
      <c r="E60" s="870"/>
      <c r="F60" s="871"/>
      <c r="G60" s="870"/>
      <c r="H60" s="869"/>
      <c r="I60" s="870"/>
      <c r="J60" s="868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868"/>
      <c r="D61" s="869"/>
      <c r="E61" s="870"/>
      <c r="F61" s="871"/>
      <c r="G61" s="870"/>
      <c r="H61" s="869"/>
      <c r="I61" s="870"/>
      <c r="J61" s="868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868"/>
      <c r="D62" s="869"/>
      <c r="E62" s="870"/>
      <c r="F62" s="871"/>
      <c r="G62" s="870"/>
      <c r="H62" s="869"/>
      <c r="I62" s="870"/>
      <c r="J62" s="868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868"/>
      <c r="D63" s="869"/>
      <c r="E63" s="870"/>
      <c r="F63" s="871"/>
      <c r="G63" s="870"/>
      <c r="H63" s="869"/>
      <c r="I63" s="870"/>
      <c r="J63" s="868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868"/>
      <c r="D64" s="869"/>
      <c r="E64" s="870"/>
      <c r="F64" s="871"/>
      <c r="G64" s="870"/>
      <c r="H64" s="869"/>
      <c r="I64" s="870"/>
      <c r="J64" s="868"/>
      <c r="K64" s="546" t="s">
        <v>823</v>
      </c>
      <c r="L64" s="546">
        <v>5216006486</v>
      </c>
    </row>
    <row r="65" spans="1:12" s="619" customFormat="1" ht="15.75" x14ac:dyDescent="0.25">
      <c r="A65" s="686" t="s">
        <v>910</v>
      </c>
      <c r="B65" s="686">
        <v>5216007171</v>
      </c>
      <c r="C65" s="868"/>
      <c r="D65" s="869"/>
      <c r="E65" s="870"/>
      <c r="F65" s="871"/>
      <c r="G65" s="870"/>
      <c r="H65" s="869"/>
      <c r="I65" s="870"/>
      <c r="J65" s="868"/>
      <c r="K65" s="546"/>
      <c r="L65" s="546"/>
    </row>
    <row r="66" spans="1:12" s="619" customFormat="1" ht="15.75" x14ac:dyDescent="0.25">
      <c r="A66" s="686" t="s">
        <v>862</v>
      </c>
      <c r="B66" s="686">
        <v>5216006487</v>
      </c>
      <c r="C66" s="868"/>
      <c r="D66" s="869"/>
      <c r="E66" s="870"/>
      <c r="F66" s="871"/>
      <c r="G66" s="870"/>
      <c r="H66" s="869"/>
      <c r="I66" s="870"/>
      <c r="J66" s="868"/>
      <c r="K66" s="546" t="s">
        <v>824</v>
      </c>
      <c r="L66" s="546">
        <v>5216006487</v>
      </c>
    </row>
    <row r="67" spans="1:12" s="619" customFormat="1" ht="15.75" x14ac:dyDescent="0.25">
      <c r="A67" s="686" t="s">
        <v>843</v>
      </c>
      <c r="B67" s="686">
        <v>5216006488</v>
      </c>
      <c r="C67" s="872"/>
      <c r="D67" s="869"/>
      <c r="E67" s="870"/>
      <c r="F67" s="871"/>
      <c r="G67" s="870"/>
      <c r="H67" s="869"/>
      <c r="I67" s="870"/>
      <c r="J67" s="868"/>
      <c r="K67" s="546" t="s">
        <v>825</v>
      </c>
      <c r="L67" s="546">
        <v>5216006488</v>
      </c>
    </row>
    <row r="68" spans="1:12" s="619" customFormat="1" ht="15.75" x14ac:dyDescent="0.25">
      <c r="A68" s="686" t="s">
        <v>842</v>
      </c>
      <c r="B68" s="686">
        <v>5216006489</v>
      </c>
      <c r="C68" s="868"/>
      <c r="D68" s="869"/>
      <c r="E68" s="870"/>
      <c r="F68" s="871"/>
      <c r="G68" s="870"/>
      <c r="H68" s="869"/>
      <c r="I68" s="870"/>
      <c r="J68" s="868"/>
      <c r="K68" s="546" t="s">
        <v>826</v>
      </c>
      <c r="L68" s="546">
        <v>5216006489</v>
      </c>
    </row>
    <row r="69" spans="1:12" s="584" customFormat="1" ht="29.25" customHeight="1" x14ac:dyDescent="0.3">
      <c r="A69" s="862" t="s">
        <v>1548</v>
      </c>
      <c r="B69" s="858" t="s">
        <v>1549</v>
      </c>
      <c r="C69" s="858"/>
      <c r="D69" s="859"/>
      <c r="E69" s="861"/>
      <c r="F69" s="860"/>
      <c r="G69" s="861"/>
      <c r="H69" s="859"/>
      <c r="I69" s="861"/>
      <c r="J69" s="858"/>
      <c r="K69" s="858"/>
      <c r="L69" s="858"/>
    </row>
    <row r="70" spans="1:12" s="619" customFormat="1" ht="14.25" customHeight="1" x14ac:dyDescent="0.25">
      <c r="A70" s="546" t="s">
        <v>870</v>
      </c>
      <c r="B70" s="546" t="s">
        <v>1550</v>
      </c>
      <c r="C70" s="546" t="s">
        <v>1551</v>
      </c>
      <c r="D70" s="618">
        <v>236.89</v>
      </c>
      <c r="E70" s="547">
        <v>2451</v>
      </c>
      <c r="F70" s="548"/>
      <c r="G70" s="547"/>
      <c r="H70" s="618"/>
      <c r="I70" s="547"/>
      <c r="J70" s="546"/>
      <c r="K70" s="546" t="s">
        <v>1554</v>
      </c>
      <c r="L70" s="546"/>
    </row>
    <row r="71" spans="1:12" s="619" customFormat="1" ht="14.25" customHeight="1" x14ac:dyDescent="0.25">
      <c r="A71" s="546" t="s">
        <v>864</v>
      </c>
      <c r="B71" s="546" t="s">
        <v>1557</v>
      </c>
      <c r="C71" s="767">
        <v>43841</v>
      </c>
      <c r="D71" s="618">
        <v>8.1300000000000008</v>
      </c>
      <c r="E71" s="547">
        <v>0</v>
      </c>
      <c r="F71" s="548"/>
      <c r="G71" s="547"/>
      <c r="H71" s="618"/>
      <c r="I71" s="547"/>
      <c r="J71" s="546"/>
      <c r="K71" s="546" t="s">
        <v>821</v>
      </c>
      <c r="L71" s="546"/>
    </row>
    <row r="72" spans="1:12" s="619" customFormat="1" ht="14.25" customHeight="1" x14ac:dyDescent="0.25">
      <c r="A72" s="546" t="s">
        <v>1552</v>
      </c>
      <c r="B72" s="546" t="s">
        <v>1553</v>
      </c>
      <c r="C72" s="546" t="s">
        <v>1551</v>
      </c>
      <c r="D72" s="618">
        <v>31</v>
      </c>
      <c r="E72" s="547">
        <v>337</v>
      </c>
      <c r="F72" s="548"/>
      <c r="G72" s="547"/>
      <c r="H72" s="618"/>
      <c r="I72" s="547"/>
      <c r="J72" s="546"/>
      <c r="K72" s="546" t="s">
        <v>794</v>
      </c>
      <c r="L72" s="546"/>
    </row>
    <row r="73" spans="1:12" s="619" customFormat="1" ht="14.25" customHeight="1" x14ac:dyDescent="0.25">
      <c r="A73" s="546" t="s">
        <v>852</v>
      </c>
      <c r="B73" s="546" t="s">
        <v>1558</v>
      </c>
      <c r="C73" s="546" t="s">
        <v>1551</v>
      </c>
      <c r="D73" s="618">
        <v>36.950000000000003</v>
      </c>
      <c r="E73" s="547">
        <v>150</v>
      </c>
      <c r="F73" s="548"/>
      <c r="G73" s="547"/>
      <c r="H73" s="618"/>
      <c r="I73" s="547"/>
      <c r="J73" s="546"/>
      <c r="K73" s="546" t="s">
        <v>808</v>
      </c>
      <c r="L73" s="546"/>
    </row>
    <row r="74" spans="1:12" s="619" customFormat="1" ht="14.25" customHeight="1" x14ac:dyDescent="0.25">
      <c r="A74" s="546" t="s">
        <v>1555</v>
      </c>
      <c r="B74" s="546" t="s">
        <v>1556</v>
      </c>
      <c r="C74" s="546" t="s">
        <v>1551</v>
      </c>
      <c r="D74" s="618">
        <v>84.79</v>
      </c>
      <c r="E74" s="547">
        <v>1105</v>
      </c>
      <c r="F74" s="548"/>
      <c r="G74" s="547"/>
      <c r="H74" s="618"/>
      <c r="I74" s="547"/>
      <c r="J74" s="546"/>
      <c r="K74" s="546" t="s">
        <v>811</v>
      </c>
      <c r="L74" s="546"/>
    </row>
    <row r="75" spans="1:12" s="619" customFormat="1" ht="14.25" customHeight="1" x14ac:dyDescent="0.25">
      <c r="A75" s="546" t="s">
        <v>1561</v>
      </c>
      <c r="B75" s="546" t="s">
        <v>1559</v>
      </c>
      <c r="C75" s="546" t="s">
        <v>1551</v>
      </c>
      <c r="D75" s="618">
        <v>368.64</v>
      </c>
      <c r="E75" s="547">
        <v>4560</v>
      </c>
      <c r="F75" s="548"/>
      <c r="G75" s="547"/>
      <c r="H75" s="618"/>
      <c r="I75" s="547"/>
      <c r="J75" s="546"/>
      <c r="K75" s="546" t="s">
        <v>1560</v>
      </c>
      <c r="L75" s="546"/>
    </row>
    <row r="76" spans="1:12" s="619" customFormat="1" ht="14.25" customHeight="1" x14ac:dyDescent="0.25">
      <c r="A76" s="546" t="s">
        <v>858</v>
      </c>
      <c r="B76" s="546" t="s">
        <v>1562</v>
      </c>
      <c r="C76" s="546" t="s">
        <v>1551</v>
      </c>
      <c r="D76" s="618">
        <v>13.61</v>
      </c>
      <c r="E76" s="547">
        <v>80</v>
      </c>
      <c r="F76" s="548"/>
      <c r="G76" s="547"/>
      <c r="H76" s="618"/>
      <c r="I76" s="547"/>
      <c r="J76" s="546"/>
      <c r="K76" s="546" t="s">
        <v>791</v>
      </c>
      <c r="L76" s="546"/>
    </row>
    <row r="77" spans="1:12" s="619" customFormat="1" ht="14.25" customHeight="1" x14ac:dyDescent="0.25">
      <c r="A77" s="546" t="s">
        <v>840</v>
      </c>
      <c r="B77" s="546" t="s">
        <v>1563</v>
      </c>
      <c r="C77" s="767">
        <v>43841</v>
      </c>
      <c r="D77" s="618">
        <v>90.41</v>
      </c>
      <c r="E77" s="547">
        <v>1186</v>
      </c>
      <c r="F77" s="548"/>
      <c r="G77" s="547"/>
      <c r="H77" s="618"/>
      <c r="I77" s="547"/>
      <c r="J77" s="546"/>
      <c r="K77" s="546" t="s">
        <v>810</v>
      </c>
      <c r="L77" s="546"/>
    </row>
    <row r="78" spans="1:12" s="619" customFormat="1" ht="14.25" customHeight="1" x14ac:dyDescent="0.25">
      <c r="A78" s="546" t="s">
        <v>1167</v>
      </c>
      <c r="B78" s="546" t="s">
        <v>1564</v>
      </c>
      <c r="C78" s="546" t="s">
        <v>1551</v>
      </c>
      <c r="D78" s="618">
        <v>17.57</v>
      </c>
      <c r="E78" s="547">
        <v>150</v>
      </c>
      <c r="F78" s="548"/>
      <c r="G78" s="547"/>
      <c r="H78" s="618"/>
      <c r="I78" s="547"/>
      <c r="J78" s="546"/>
      <c r="K78" s="546" t="s">
        <v>792</v>
      </c>
      <c r="L78" s="546"/>
    </row>
    <row r="79" spans="1:12" s="619" customFormat="1" ht="14.25" customHeight="1" x14ac:dyDescent="0.25">
      <c r="A79" s="546" t="s">
        <v>1565</v>
      </c>
      <c r="B79" s="546" t="s">
        <v>1566</v>
      </c>
      <c r="C79" s="546" t="s">
        <v>1551</v>
      </c>
      <c r="D79" s="618">
        <v>22.28</v>
      </c>
      <c r="E79" s="547">
        <v>202</v>
      </c>
      <c r="F79" s="548"/>
      <c r="G79" s="547"/>
      <c r="H79" s="618"/>
      <c r="I79" s="547"/>
      <c r="J79" s="546"/>
      <c r="K79" s="546" t="s">
        <v>820</v>
      </c>
      <c r="L79" s="546"/>
    </row>
    <row r="80" spans="1:12" s="619" customFormat="1" ht="14.25" customHeight="1" x14ac:dyDescent="0.25">
      <c r="A80" s="546" t="s">
        <v>1567</v>
      </c>
      <c r="B80" s="546" t="s">
        <v>1568</v>
      </c>
      <c r="C80" s="546" t="s">
        <v>1551</v>
      </c>
      <c r="D80" s="618">
        <v>129.06</v>
      </c>
      <c r="E80" s="547">
        <v>1247</v>
      </c>
      <c r="F80" s="548"/>
      <c r="G80" s="547"/>
      <c r="H80" s="618"/>
      <c r="I80" s="547"/>
      <c r="J80" s="546"/>
      <c r="K80" s="546" t="s">
        <v>819</v>
      </c>
      <c r="L80" s="546"/>
    </row>
    <row r="81" spans="1:12" s="619" customFormat="1" ht="14.25" customHeight="1" x14ac:dyDescent="0.25">
      <c r="A81" s="546" t="s">
        <v>1569</v>
      </c>
      <c r="B81" s="546" t="s">
        <v>1570</v>
      </c>
      <c r="C81" s="546" t="s">
        <v>1551</v>
      </c>
      <c r="D81" s="618">
        <v>615.27</v>
      </c>
      <c r="E81" s="547">
        <v>8760</v>
      </c>
      <c r="F81" s="548"/>
      <c r="G81" s="547"/>
      <c r="H81" s="618"/>
      <c r="I81" s="547"/>
      <c r="J81" s="546"/>
      <c r="K81" s="546" t="s">
        <v>818</v>
      </c>
      <c r="L81" s="546"/>
    </row>
    <row r="82" spans="1:12" s="619" customFormat="1" ht="14.25" customHeight="1" x14ac:dyDescent="0.25">
      <c r="A82" s="546" t="s">
        <v>1571</v>
      </c>
      <c r="B82" s="546" t="s">
        <v>1572</v>
      </c>
      <c r="C82" s="546" t="s">
        <v>1551</v>
      </c>
      <c r="D82" s="618">
        <v>37.299999999999997</v>
      </c>
      <c r="E82" s="547">
        <v>150</v>
      </c>
      <c r="F82" s="548"/>
      <c r="G82" s="547"/>
      <c r="H82" s="618"/>
      <c r="I82" s="547"/>
      <c r="J82" s="546"/>
      <c r="K82" s="546" t="s">
        <v>797</v>
      </c>
      <c r="L82" s="546"/>
    </row>
    <row r="83" spans="1:12" s="619" customFormat="1" ht="14.25" customHeight="1" x14ac:dyDescent="0.25">
      <c r="A83" s="546" t="s">
        <v>1573</v>
      </c>
      <c r="B83" s="546" t="s">
        <v>1574</v>
      </c>
      <c r="C83" s="546" t="s">
        <v>1551</v>
      </c>
      <c r="D83" s="618">
        <v>22.15</v>
      </c>
      <c r="E83" s="547">
        <v>160</v>
      </c>
      <c r="F83" s="548"/>
      <c r="G83" s="547"/>
      <c r="H83" s="618"/>
      <c r="I83" s="547"/>
      <c r="J83" s="546"/>
      <c r="K83" s="546" t="s">
        <v>809</v>
      </c>
      <c r="L83" s="546"/>
    </row>
    <row r="84" spans="1:12" s="619" customFormat="1" ht="14.25" customHeight="1" x14ac:dyDescent="0.25">
      <c r="A84" s="546" t="s">
        <v>1575</v>
      </c>
      <c r="B84" s="546" t="s">
        <v>1576</v>
      </c>
      <c r="C84" s="546" t="s">
        <v>1551</v>
      </c>
      <c r="D84" s="618">
        <v>290.14</v>
      </c>
      <c r="E84" s="547">
        <v>3041</v>
      </c>
      <c r="F84" s="548"/>
      <c r="G84" s="547"/>
      <c r="H84" s="618"/>
      <c r="I84" s="547"/>
      <c r="J84" s="546"/>
      <c r="K84" s="546" t="s">
        <v>822</v>
      </c>
      <c r="L84" s="546"/>
    </row>
    <row r="85" spans="1:12" s="619" customFormat="1" ht="14.25" customHeight="1" x14ac:dyDescent="0.25">
      <c r="A85" s="546" t="s">
        <v>828</v>
      </c>
      <c r="B85" s="546" t="s">
        <v>1577</v>
      </c>
      <c r="C85" s="546" t="s">
        <v>1551</v>
      </c>
      <c r="D85" s="618">
        <v>10.9</v>
      </c>
      <c r="E85" s="547">
        <v>70</v>
      </c>
      <c r="F85" s="548"/>
      <c r="G85" s="547"/>
      <c r="H85" s="618"/>
      <c r="I85" s="547"/>
      <c r="J85" s="546"/>
      <c r="K85" s="546" t="s">
        <v>780</v>
      </c>
      <c r="L85" s="546"/>
    </row>
    <row r="86" spans="1:12" s="619" customFormat="1" ht="14.25" customHeight="1" x14ac:dyDescent="0.25">
      <c r="A86" s="546" t="s">
        <v>1578</v>
      </c>
      <c r="B86" s="546" t="s">
        <v>1579</v>
      </c>
      <c r="C86" s="546" t="s">
        <v>1551</v>
      </c>
      <c r="D86" s="618">
        <v>9.07</v>
      </c>
      <c r="E86" s="547">
        <v>1268</v>
      </c>
      <c r="F86" s="548"/>
      <c r="G86" s="547"/>
      <c r="H86" s="618"/>
      <c r="I86" s="547"/>
      <c r="J86" s="546"/>
      <c r="K86" s="546" t="s">
        <v>826</v>
      </c>
      <c r="L86" s="546"/>
    </row>
    <row r="87" spans="1:12" s="619" customFormat="1" ht="14.25" customHeight="1" x14ac:dyDescent="0.25">
      <c r="A87" s="546" t="s">
        <v>1580</v>
      </c>
      <c r="B87" s="546" t="s">
        <v>1581</v>
      </c>
      <c r="C87" s="546" t="s">
        <v>1551</v>
      </c>
      <c r="D87" s="618">
        <v>3302.7</v>
      </c>
      <c r="E87" s="547">
        <v>56800</v>
      </c>
      <c r="F87" s="548"/>
      <c r="G87" s="547"/>
      <c r="H87" s="618"/>
      <c r="I87" s="547"/>
      <c r="J87" s="546"/>
      <c r="K87" s="546" t="s">
        <v>783</v>
      </c>
      <c r="L87" s="546"/>
    </row>
    <row r="88" spans="1:12" s="619" customFormat="1" ht="14.25" customHeight="1" x14ac:dyDescent="0.25">
      <c r="A88" s="546" t="s">
        <v>1582</v>
      </c>
      <c r="B88" s="546" t="s">
        <v>1583</v>
      </c>
      <c r="C88" s="546" t="s">
        <v>1551</v>
      </c>
      <c r="D88" s="618">
        <v>135.83000000000001</v>
      </c>
      <c r="E88" s="547">
        <v>1842</v>
      </c>
      <c r="F88" s="548"/>
      <c r="G88" s="547"/>
      <c r="H88" s="618"/>
      <c r="I88" s="547"/>
      <c r="J88" s="546"/>
      <c r="K88" s="546" t="s">
        <v>825</v>
      </c>
      <c r="L88" s="546"/>
    </row>
    <row r="89" spans="1:12" s="619" customFormat="1" ht="14.25" customHeight="1" x14ac:dyDescent="0.25">
      <c r="A89" s="546" t="s">
        <v>1584</v>
      </c>
      <c r="B89" s="546" t="s">
        <v>1585</v>
      </c>
      <c r="C89" s="546" t="s">
        <v>1551</v>
      </c>
      <c r="D89" s="618">
        <v>44.98</v>
      </c>
      <c r="E89" s="547">
        <v>0</v>
      </c>
      <c r="F89" s="548"/>
      <c r="G89" s="547"/>
      <c r="H89" s="618"/>
      <c r="I89" s="547"/>
      <c r="J89" s="546"/>
      <c r="K89" s="546" t="s">
        <v>785</v>
      </c>
      <c r="L89" s="546"/>
    </row>
    <row r="90" spans="1:12" s="619" customFormat="1" ht="14.25" customHeight="1" x14ac:dyDescent="0.25">
      <c r="A90" s="546" t="s">
        <v>935</v>
      </c>
      <c r="B90" s="546" t="s">
        <v>1586</v>
      </c>
      <c r="C90" s="546" t="s">
        <v>1551</v>
      </c>
      <c r="D90" s="618">
        <v>20.12</v>
      </c>
      <c r="E90" s="547">
        <v>140</v>
      </c>
      <c r="F90" s="548"/>
      <c r="G90" s="547"/>
      <c r="H90" s="618"/>
      <c r="I90" s="547"/>
      <c r="J90" s="546"/>
      <c r="K90" s="546" t="s">
        <v>823</v>
      </c>
      <c r="L90" s="546"/>
    </row>
    <row r="91" spans="1:12" s="619" customFormat="1" ht="14.25" customHeight="1" x14ac:dyDescent="0.25">
      <c r="A91" s="546" t="s">
        <v>1587</v>
      </c>
      <c r="B91" s="546" t="s">
        <v>1588</v>
      </c>
      <c r="C91" s="546" t="s">
        <v>1551</v>
      </c>
      <c r="D91" s="618">
        <v>17.57</v>
      </c>
      <c r="E91" s="547">
        <v>150</v>
      </c>
      <c r="F91" s="548"/>
      <c r="G91" s="547"/>
      <c r="H91" s="618"/>
      <c r="I91" s="547"/>
      <c r="J91" s="546"/>
      <c r="K91" s="546" t="s">
        <v>812</v>
      </c>
      <c r="L91" s="546"/>
    </row>
    <row r="92" spans="1:12" s="619" customFormat="1" ht="14.25" customHeight="1" x14ac:dyDescent="0.25">
      <c r="A92" s="546" t="s">
        <v>1589</v>
      </c>
      <c r="B92" s="546" t="s">
        <v>1590</v>
      </c>
      <c r="C92" s="546" t="s">
        <v>1551</v>
      </c>
      <c r="D92" s="618">
        <v>13.61</v>
      </c>
      <c r="E92" s="547">
        <v>80</v>
      </c>
      <c r="F92" s="548"/>
      <c r="G92" s="547"/>
      <c r="H92" s="618"/>
      <c r="I92" s="547"/>
      <c r="J92" s="546"/>
      <c r="K92" s="546" t="s">
        <v>802</v>
      </c>
      <c r="L92" s="546"/>
    </row>
    <row r="93" spans="1:12" s="619" customFormat="1" ht="14.25" customHeight="1" x14ac:dyDescent="0.25">
      <c r="A93" s="546" t="s">
        <v>1591</v>
      </c>
      <c r="B93" s="546" t="s">
        <v>1592</v>
      </c>
      <c r="C93" s="546" t="s">
        <v>1551</v>
      </c>
      <c r="D93" s="618">
        <v>870.84</v>
      </c>
      <c r="E93" s="547">
        <v>10200</v>
      </c>
      <c r="F93" s="548"/>
      <c r="G93" s="547"/>
      <c r="H93" s="618"/>
      <c r="I93" s="547"/>
      <c r="J93" s="546"/>
      <c r="K93" s="546" t="s">
        <v>1593</v>
      </c>
      <c r="L93" s="546"/>
    </row>
    <row r="94" spans="1:12" s="619" customFormat="1" ht="14.25" customHeight="1" x14ac:dyDescent="0.25">
      <c r="A94" s="546" t="s">
        <v>1594</v>
      </c>
      <c r="B94" s="546" t="s">
        <v>1595</v>
      </c>
      <c r="C94" s="546" t="s">
        <v>1551</v>
      </c>
      <c r="D94" s="618">
        <v>10.9</v>
      </c>
      <c r="E94" s="547">
        <v>70</v>
      </c>
      <c r="F94" s="548"/>
      <c r="G94" s="547"/>
      <c r="H94" s="618"/>
      <c r="I94" s="547"/>
      <c r="J94" s="546"/>
      <c r="K94" s="546" t="s">
        <v>801</v>
      </c>
      <c r="L94" s="546"/>
    </row>
    <row r="95" spans="1:12" s="619" customFormat="1" ht="14.25" customHeight="1" x14ac:dyDescent="0.25">
      <c r="A95" s="546" t="s">
        <v>1596</v>
      </c>
      <c r="B95" s="546" t="s">
        <v>1597</v>
      </c>
      <c r="C95" s="546" t="s">
        <v>1551</v>
      </c>
      <c r="D95" s="618">
        <v>36.47</v>
      </c>
      <c r="E95" s="547">
        <v>407</v>
      </c>
      <c r="F95" s="548"/>
      <c r="G95" s="547"/>
      <c r="H95" s="618"/>
      <c r="I95" s="547"/>
      <c r="J95" s="546"/>
      <c r="K95" s="546" t="s">
        <v>894</v>
      </c>
      <c r="L95" s="546"/>
    </row>
    <row r="96" spans="1:12" s="619" customFormat="1" ht="14.25" customHeight="1" x14ac:dyDescent="0.25">
      <c r="A96" s="546" t="s">
        <v>1598</v>
      </c>
      <c r="B96" s="546" t="s">
        <v>1599</v>
      </c>
      <c r="C96" s="546" t="s">
        <v>1551</v>
      </c>
      <c r="D96" s="618">
        <v>107.09</v>
      </c>
      <c r="E96" s="547">
        <v>770</v>
      </c>
      <c r="F96" s="548"/>
      <c r="G96" s="547"/>
      <c r="H96" s="618"/>
      <c r="I96" s="547"/>
      <c r="J96" s="546"/>
      <c r="K96" s="546" t="s">
        <v>816</v>
      </c>
      <c r="L96" s="546"/>
    </row>
    <row r="97" spans="1:12" s="619" customFormat="1" ht="14.25" customHeight="1" x14ac:dyDescent="0.25">
      <c r="A97" s="546" t="s">
        <v>1600</v>
      </c>
      <c r="B97" s="546" t="s">
        <v>1601</v>
      </c>
      <c r="C97" s="546" t="s">
        <v>1551</v>
      </c>
      <c r="D97" s="618">
        <v>157.96</v>
      </c>
      <c r="E97" s="547">
        <v>2162</v>
      </c>
      <c r="F97" s="548"/>
      <c r="G97" s="547"/>
      <c r="H97" s="618"/>
      <c r="I97" s="547"/>
      <c r="J97" s="546"/>
      <c r="K97" s="546" t="s">
        <v>798</v>
      </c>
      <c r="L97" s="546"/>
    </row>
    <row r="98" spans="1:12" s="619" customFormat="1" ht="14.25" customHeight="1" x14ac:dyDescent="0.25">
      <c r="A98" s="546" t="s">
        <v>1602</v>
      </c>
      <c r="B98" s="546" t="s">
        <v>1603</v>
      </c>
      <c r="C98" s="546" t="s">
        <v>1551</v>
      </c>
      <c r="D98" s="618">
        <v>205.7</v>
      </c>
      <c r="E98" s="547">
        <v>1931</v>
      </c>
      <c r="F98" s="548"/>
      <c r="G98" s="547"/>
      <c r="H98" s="618"/>
      <c r="I98" s="547"/>
      <c r="J98" s="546"/>
      <c r="K98" s="546" t="s">
        <v>784</v>
      </c>
      <c r="L98" s="546"/>
    </row>
    <row r="99" spans="1:12" s="619" customFormat="1" ht="14.25" customHeight="1" x14ac:dyDescent="0.25">
      <c r="A99" s="546" t="s">
        <v>1604</v>
      </c>
      <c r="B99" s="546" t="s">
        <v>1605</v>
      </c>
      <c r="C99" s="546" t="s">
        <v>1551</v>
      </c>
      <c r="D99" s="618">
        <v>8.91</v>
      </c>
      <c r="E99" s="547">
        <v>9</v>
      </c>
      <c r="F99" s="548"/>
      <c r="G99" s="547"/>
      <c r="H99" s="618"/>
      <c r="I99" s="547"/>
      <c r="J99" s="546"/>
      <c r="K99" s="546" t="s">
        <v>790</v>
      </c>
      <c r="L99" s="546"/>
    </row>
    <row r="100" spans="1:12" s="619" customFormat="1" ht="14.25" customHeight="1" x14ac:dyDescent="0.25">
      <c r="A100" s="546" t="s">
        <v>1606</v>
      </c>
      <c r="B100" s="546" t="s">
        <v>1607</v>
      </c>
      <c r="C100" s="546" t="s">
        <v>1551</v>
      </c>
      <c r="D100" s="618">
        <v>82.97</v>
      </c>
      <c r="E100" s="547">
        <v>1065</v>
      </c>
      <c r="F100" s="548"/>
      <c r="G100" s="547"/>
      <c r="H100" s="618"/>
      <c r="I100" s="547"/>
      <c r="J100" s="546"/>
      <c r="K100" s="546" t="s">
        <v>781</v>
      </c>
      <c r="L100" s="546"/>
    </row>
    <row r="101" spans="1:12" s="619" customFormat="1" ht="14.25" customHeight="1" x14ac:dyDescent="0.25">
      <c r="A101" s="546" t="s">
        <v>1606</v>
      </c>
      <c r="B101" s="546" t="s">
        <v>1608</v>
      </c>
      <c r="C101" s="546" t="s">
        <v>1551</v>
      </c>
      <c r="D101" s="618">
        <v>228.43</v>
      </c>
      <c r="E101" s="547">
        <v>3052</v>
      </c>
      <c r="F101" s="548"/>
      <c r="G101" s="547"/>
      <c r="H101" s="618"/>
      <c r="I101" s="547"/>
      <c r="J101" s="546"/>
      <c r="K101" s="546" t="s">
        <v>795</v>
      </c>
      <c r="L101" s="546"/>
    </row>
    <row r="102" spans="1:12" s="619" customFormat="1" ht="14.25" customHeight="1" x14ac:dyDescent="0.25">
      <c r="A102" s="546" t="s">
        <v>1609</v>
      </c>
      <c r="B102" s="546" t="s">
        <v>1610</v>
      </c>
      <c r="C102" s="546" t="s">
        <v>1551</v>
      </c>
      <c r="D102" s="618">
        <v>883.64</v>
      </c>
      <c r="E102" s="547">
        <v>11520</v>
      </c>
      <c r="F102" s="548"/>
      <c r="G102" s="547"/>
      <c r="H102" s="618"/>
      <c r="I102" s="547"/>
      <c r="J102" s="546"/>
      <c r="K102" s="546" t="s">
        <v>789</v>
      </c>
      <c r="L102" s="546"/>
    </row>
    <row r="103" spans="1:12" s="619" customFormat="1" ht="14.25" customHeight="1" x14ac:dyDescent="0.25">
      <c r="A103" s="546" t="s">
        <v>1611</v>
      </c>
      <c r="B103" s="546" t="s">
        <v>1612</v>
      </c>
      <c r="C103" s="546" t="s">
        <v>1551</v>
      </c>
      <c r="D103" s="618">
        <v>128.09</v>
      </c>
      <c r="E103" s="547">
        <v>1768</v>
      </c>
      <c r="F103" s="548"/>
      <c r="G103" s="547"/>
      <c r="H103" s="618"/>
      <c r="I103" s="547"/>
      <c r="J103" s="546"/>
      <c r="K103" s="546" t="s">
        <v>815</v>
      </c>
      <c r="L103" s="546"/>
    </row>
    <row r="104" spans="1:12" s="619" customFormat="1" ht="14.25" customHeight="1" x14ac:dyDescent="0.25">
      <c r="A104" s="546" t="s">
        <v>1613</v>
      </c>
      <c r="B104" s="546" t="s">
        <v>1614</v>
      </c>
      <c r="C104" s="546" t="s">
        <v>1551</v>
      </c>
      <c r="D104" s="618">
        <v>162.71</v>
      </c>
      <c r="E104" s="547">
        <v>0</v>
      </c>
      <c r="F104" s="548"/>
      <c r="G104" s="547"/>
      <c r="H104" s="618"/>
      <c r="I104" s="547"/>
      <c r="J104" s="546"/>
      <c r="K104" s="546" t="s">
        <v>796</v>
      </c>
      <c r="L104" s="546"/>
    </row>
    <row r="105" spans="1:12" s="619" customFormat="1" ht="14.25" customHeight="1" x14ac:dyDescent="0.25">
      <c r="A105" s="546" t="s">
        <v>1615</v>
      </c>
      <c r="B105" s="546" t="s">
        <v>1616</v>
      </c>
      <c r="C105" s="546" t="s">
        <v>1551</v>
      </c>
      <c r="D105" s="618">
        <v>1336.53</v>
      </c>
      <c r="E105" s="547">
        <v>11550</v>
      </c>
      <c r="F105" s="548"/>
      <c r="G105" s="547"/>
      <c r="H105" s="618"/>
      <c r="I105" s="547"/>
      <c r="J105" s="546"/>
      <c r="K105" s="546" t="s">
        <v>824</v>
      </c>
      <c r="L105" s="546"/>
    </row>
    <row r="106" spans="1:12" s="619" customFormat="1" ht="14.25" customHeight="1" x14ac:dyDescent="0.25">
      <c r="A106" s="546" t="s">
        <v>1617</v>
      </c>
      <c r="B106" s="546" t="s">
        <v>1618</v>
      </c>
      <c r="C106" s="546" t="s">
        <v>1551</v>
      </c>
      <c r="D106" s="618">
        <v>504.21</v>
      </c>
      <c r="E106" s="547">
        <v>3000</v>
      </c>
      <c r="F106" s="548"/>
      <c r="G106" s="547"/>
      <c r="H106" s="618"/>
      <c r="I106" s="547"/>
      <c r="J106" s="546"/>
      <c r="K106" s="546" t="s">
        <v>805</v>
      </c>
      <c r="L106" s="546"/>
    </row>
    <row r="107" spans="1:12" s="619" customFormat="1" ht="14.25" customHeight="1" x14ac:dyDescent="0.25">
      <c r="A107" s="546" t="s">
        <v>1619</v>
      </c>
      <c r="B107" s="546" t="s">
        <v>1620</v>
      </c>
      <c r="C107" s="546" t="s">
        <v>1551</v>
      </c>
      <c r="D107" s="618">
        <v>320.87</v>
      </c>
      <c r="E107" s="547">
        <v>1400</v>
      </c>
      <c r="F107" s="548"/>
      <c r="G107" s="547"/>
      <c r="H107" s="618"/>
      <c r="I107" s="547"/>
      <c r="J107" s="546"/>
      <c r="K107" s="546" t="s">
        <v>806</v>
      </c>
      <c r="L107" s="546"/>
    </row>
    <row r="108" spans="1:12" s="619" customFormat="1" ht="14.25" customHeight="1" x14ac:dyDescent="0.25">
      <c r="A108" s="546" t="s">
        <v>1621</v>
      </c>
      <c r="B108" s="546" t="s">
        <v>1622</v>
      </c>
      <c r="C108" s="546" t="s">
        <v>1551</v>
      </c>
      <c r="D108" s="618">
        <v>794</v>
      </c>
      <c r="E108" s="547">
        <v>4560</v>
      </c>
      <c r="F108" s="548"/>
      <c r="G108" s="547"/>
      <c r="H108" s="618"/>
      <c r="I108" s="547"/>
      <c r="J108" s="546"/>
      <c r="K108" s="546" t="s">
        <v>778</v>
      </c>
      <c r="L108" s="546"/>
    </row>
    <row r="109" spans="1:12" s="619" customFormat="1" ht="14.25" customHeight="1" x14ac:dyDescent="0.25">
      <c r="A109" s="546" t="s">
        <v>1621</v>
      </c>
      <c r="B109" s="546" t="s">
        <v>1623</v>
      </c>
      <c r="C109" s="546" t="s">
        <v>1551</v>
      </c>
      <c r="D109" s="618">
        <v>176.82</v>
      </c>
      <c r="E109" s="547">
        <v>600</v>
      </c>
      <c r="F109" s="548"/>
      <c r="G109" s="547"/>
      <c r="H109" s="618"/>
      <c r="I109" s="547"/>
      <c r="J109" s="546"/>
      <c r="K109" s="546" t="s">
        <v>1624</v>
      </c>
      <c r="L109" s="546"/>
    </row>
    <row r="110" spans="1:12" s="619" customFormat="1" ht="14.25" customHeight="1" x14ac:dyDescent="0.25">
      <c r="A110" s="546" t="s">
        <v>869</v>
      </c>
      <c r="B110" s="546" t="s">
        <v>1625</v>
      </c>
      <c r="C110" s="546" t="s">
        <v>1551</v>
      </c>
      <c r="D110" s="618">
        <v>8.1300000000000008</v>
      </c>
      <c r="E110" s="547">
        <v>0</v>
      </c>
      <c r="F110" s="548"/>
      <c r="G110" s="547"/>
      <c r="H110" s="618"/>
      <c r="I110" s="547"/>
      <c r="J110" s="546"/>
      <c r="K110" s="546" t="s">
        <v>803</v>
      </c>
      <c r="L110" s="546"/>
    </row>
    <row r="111" spans="1:12" s="619" customFormat="1" ht="14.25" customHeight="1" x14ac:dyDescent="0.25">
      <c r="A111" s="546" t="s">
        <v>849</v>
      </c>
      <c r="B111" s="546" t="s">
        <v>1626</v>
      </c>
      <c r="C111" s="546" t="s">
        <v>1551</v>
      </c>
      <c r="D111" s="618">
        <v>640.15</v>
      </c>
      <c r="E111" s="547">
        <v>10358</v>
      </c>
      <c r="F111" s="548"/>
      <c r="G111" s="547"/>
      <c r="H111" s="618"/>
      <c r="I111" s="547"/>
      <c r="J111" s="546"/>
      <c r="K111" s="546" t="s">
        <v>788</v>
      </c>
      <c r="L111" s="546"/>
    </row>
    <row r="112" spans="1:12" s="619" customFormat="1" ht="14.25" customHeight="1" x14ac:dyDescent="0.25">
      <c r="A112" s="546" t="s">
        <v>1627</v>
      </c>
      <c r="B112" s="546" t="s">
        <v>1628</v>
      </c>
      <c r="C112" s="546" t="s">
        <v>1551</v>
      </c>
      <c r="D112" s="618">
        <v>119.43</v>
      </c>
      <c r="E112" s="547">
        <v>1040</v>
      </c>
      <c r="F112" s="548"/>
      <c r="G112" s="547"/>
      <c r="H112" s="618"/>
      <c r="I112" s="547"/>
      <c r="J112" s="546"/>
      <c r="K112" s="546" t="s">
        <v>786</v>
      </c>
      <c r="L112" s="546"/>
    </row>
    <row r="113" spans="1:36" s="619" customFormat="1" ht="14.25" customHeight="1" x14ac:dyDescent="0.25">
      <c r="A113" s="546" t="s">
        <v>1629</v>
      </c>
      <c r="B113" s="546" t="s">
        <v>1630</v>
      </c>
      <c r="C113" s="546" t="s">
        <v>1551</v>
      </c>
      <c r="D113" s="618">
        <v>321.22000000000003</v>
      </c>
      <c r="E113" s="547">
        <v>3154</v>
      </c>
      <c r="F113" s="548"/>
      <c r="G113" s="547"/>
      <c r="H113" s="618"/>
      <c r="I113" s="547"/>
      <c r="J113" s="546"/>
      <c r="K113" s="546" t="s">
        <v>804</v>
      </c>
      <c r="L113" s="546"/>
    </row>
    <row r="114" spans="1:36" s="199" customFormat="1" ht="26.25" x14ac:dyDescent="0.25">
      <c r="A114" s="698" t="s">
        <v>878</v>
      </c>
      <c r="B114" s="687"/>
      <c r="C114" s="249"/>
      <c r="D114" s="250"/>
      <c r="E114" s="750"/>
      <c r="F114" s="543"/>
      <c r="G114" s="750"/>
      <c r="H114" s="250"/>
      <c r="I114" s="750"/>
      <c r="J114" s="249"/>
      <c r="K114" s="249"/>
      <c r="L114" s="24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</row>
    <row r="115" spans="1:36" s="184" customFormat="1" ht="26.25" x14ac:dyDescent="0.25">
      <c r="A115" s="695" t="s">
        <v>51</v>
      </c>
      <c r="B115" s="681" t="s">
        <v>208</v>
      </c>
      <c r="C115" s="289" t="s">
        <v>1541</v>
      </c>
      <c r="D115" s="269">
        <v>198</v>
      </c>
      <c r="E115" s="757">
        <v>1933</v>
      </c>
      <c r="F115" s="544"/>
      <c r="G115" s="757"/>
      <c r="H115" s="269"/>
      <c r="I115" s="757"/>
      <c r="J115" s="245" t="s">
        <v>33</v>
      </c>
      <c r="K115" s="245"/>
      <c r="L115" s="245"/>
    </row>
    <row r="116" spans="1:36" s="184" customFormat="1" ht="26.25" x14ac:dyDescent="0.25">
      <c r="A116" s="695" t="s">
        <v>52</v>
      </c>
      <c r="B116" s="681" t="s">
        <v>209</v>
      </c>
      <c r="C116" s="289" t="s">
        <v>1541</v>
      </c>
      <c r="D116" s="269">
        <v>155</v>
      </c>
      <c r="E116" s="757">
        <v>1190</v>
      </c>
      <c r="F116" s="544"/>
      <c r="G116" s="757"/>
      <c r="H116" s="269"/>
      <c r="I116" s="757"/>
      <c r="J116" s="245" t="s">
        <v>33</v>
      </c>
      <c r="K116" s="245"/>
      <c r="L116" s="245"/>
    </row>
    <row r="117" spans="1:36" s="184" customFormat="1" ht="26.25" x14ac:dyDescent="0.25">
      <c r="A117" s="695" t="s">
        <v>54</v>
      </c>
      <c r="B117" s="681">
        <v>7039100</v>
      </c>
      <c r="C117" s="289" t="s">
        <v>1541</v>
      </c>
      <c r="D117" s="269">
        <v>104</v>
      </c>
      <c r="E117" s="757">
        <v>579</v>
      </c>
      <c r="F117" s="544"/>
      <c r="G117" s="757"/>
      <c r="H117" s="269"/>
      <c r="I117" s="757"/>
      <c r="J117" s="245" t="s">
        <v>33</v>
      </c>
      <c r="K117" s="245"/>
      <c r="L117" s="245"/>
    </row>
    <row r="118" spans="1:36" s="184" customFormat="1" x14ac:dyDescent="0.25">
      <c r="A118" s="695" t="s">
        <v>55</v>
      </c>
      <c r="B118" s="681" t="s">
        <v>212</v>
      </c>
      <c r="C118" s="289">
        <v>43831</v>
      </c>
      <c r="D118" s="269">
        <v>45</v>
      </c>
      <c r="E118" s="757">
        <v>126</v>
      </c>
      <c r="F118" s="544"/>
      <c r="G118" s="757"/>
      <c r="H118" s="269"/>
      <c r="I118" s="757"/>
      <c r="J118" s="245" t="s">
        <v>33</v>
      </c>
      <c r="K118" s="245"/>
      <c r="L118" s="245"/>
    </row>
    <row r="119" spans="1:36" s="184" customFormat="1" x14ac:dyDescent="0.25">
      <c r="A119" s="695" t="s">
        <v>56</v>
      </c>
      <c r="B119" s="681" t="s">
        <v>213</v>
      </c>
      <c r="C119" s="289" t="s">
        <v>1541</v>
      </c>
      <c r="D119" s="269">
        <v>42</v>
      </c>
      <c r="E119" s="757">
        <v>84</v>
      </c>
      <c r="F119" s="544"/>
      <c r="G119" s="757"/>
      <c r="H119" s="269"/>
      <c r="I119" s="757"/>
      <c r="J119" s="245" t="s">
        <v>33</v>
      </c>
      <c r="K119" s="245"/>
      <c r="L119" s="245"/>
    </row>
    <row r="120" spans="1:36" s="184" customFormat="1" x14ac:dyDescent="0.25">
      <c r="A120" s="695" t="s">
        <v>57</v>
      </c>
      <c r="B120" s="681" t="s">
        <v>214</v>
      </c>
      <c r="C120" s="289" t="s">
        <v>1541</v>
      </c>
      <c r="D120" s="269">
        <v>284</v>
      </c>
      <c r="E120" s="757">
        <v>2713</v>
      </c>
      <c r="F120" s="544"/>
      <c r="G120" s="757"/>
      <c r="H120" s="269"/>
      <c r="I120" s="757"/>
      <c r="J120" s="245" t="s">
        <v>33</v>
      </c>
      <c r="K120" s="245"/>
      <c r="L120" s="245"/>
    </row>
    <row r="121" spans="1:36" s="184" customFormat="1" x14ac:dyDescent="0.25">
      <c r="A121" s="695" t="s">
        <v>58</v>
      </c>
      <c r="B121" s="681" t="s">
        <v>215</v>
      </c>
      <c r="C121" s="289" t="s">
        <v>1541</v>
      </c>
      <c r="D121" s="269">
        <v>290</v>
      </c>
      <c r="E121" s="757">
        <v>3108</v>
      </c>
      <c r="F121" s="544"/>
      <c r="G121" s="757"/>
      <c r="H121" s="269"/>
      <c r="I121" s="757"/>
      <c r="J121" s="245" t="s">
        <v>33</v>
      </c>
      <c r="K121" s="245"/>
      <c r="L121" s="245"/>
    </row>
    <row r="122" spans="1:36" s="184" customFormat="1" x14ac:dyDescent="0.25">
      <c r="A122" s="695" t="s">
        <v>770</v>
      </c>
      <c r="B122" s="681" t="s">
        <v>216</v>
      </c>
      <c r="C122" s="289" t="s">
        <v>1541</v>
      </c>
      <c r="D122" s="269">
        <v>59</v>
      </c>
      <c r="E122" s="757">
        <v>285</v>
      </c>
      <c r="F122" s="544"/>
      <c r="G122" s="757"/>
      <c r="H122" s="269"/>
      <c r="I122" s="757"/>
      <c r="J122" s="245" t="s">
        <v>33</v>
      </c>
      <c r="K122" s="245"/>
      <c r="L122" s="245"/>
    </row>
    <row r="123" spans="1:36" s="184" customFormat="1" x14ac:dyDescent="0.25">
      <c r="A123" s="695" t="s">
        <v>60</v>
      </c>
      <c r="B123" s="681" t="s">
        <v>217</v>
      </c>
      <c r="C123" s="289" t="s">
        <v>1541</v>
      </c>
      <c r="D123" s="269">
        <v>70</v>
      </c>
      <c r="E123" s="757">
        <v>184</v>
      </c>
      <c r="F123" s="544"/>
      <c r="G123" s="757"/>
      <c r="H123" s="269"/>
      <c r="I123" s="757"/>
      <c r="J123" s="245" t="s">
        <v>33</v>
      </c>
      <c r="K123" s="245"/>
      <c r="L123" s="245"/>
    </row>
    <row r="124" spans="1:36" s="184" customFormat="1" x14ac:dyDescent="0.25">
      <c r="A124" s="695" t="s">
        <v>61</v>
      </c>
      <c r="B124" s="681" t="s">
        <v>218</v>
      </c>
      <c r="C124" s="289" t="s">
        <v>1541</v>
      </c>
      <c r="D124" s="269">
        <v>35</v>
      </c>
      <c r="E124" s="757">
        <v>2</v>
      </c>
      <c r="F124" s="544"/>
      <c r="G124" s="757"/>
      <c r="H124" s="269"/>
      <c r="I124" s="757"/>
      <c r="J124" s="245" t="s">
        <v>33</v>
      </c>
      <c r="K124" s="245"/>
      <c r="L124" s="245"/>
    </row>
    <row r="125" spans="1:36" s="184" customFormat="1" x14ac:dyDescent="0.25">
      <c r="A125" s="695" t="s">
        <v>62</v>
      </c>
      <c r="B125" s="681" t="s">
        <v>219</v>
      </c>
      <c r="C125" s="289" t="s">
        <v>1541</v>
      </c>
      <c r="D125" s="269">
        <v>35</v>
      </c>
      <c r="E125" s="757">
        <v>8</v>
      </c>
      <c r="F125" s="544"/>
      <c r="G125" s="757"/>
      <c r="H125" s="269"/>
      <c r="I125" s="757"/>
      <c r="J125" s="245" t="s">
        <v>33</v>
      </c>
      <c r="K125" s="245"/>
      <c r="L125" s="245"/>
    </row>
    <row r="126" spans="1:36" s="184" customFormat="1" x14ac:dyDescent="0.25">
      <c r="A126" s="695" t="s">
        <v>771</v>
      </c>
      <c r="B126" s="681">
        <v>1402294701</v>
      </c>
      <c r="C126" s="289" t="s">
        <v>1541</v>
      </c>
      <c r="D126" s="269">
        <v>55.02</v>
      </c>
      <c r="E126" s="757">
        <v>12</v>
      </c>
      <c r="F126" s="544"/>
      <c r="G126" s="757"/>
      <c r="H126" s="269"/>
      <c r="I126" s="757"/>
      <c r="J126" s="245"/>
      <c r="K126" s="245"/>
      <c r="L126" s="245"/>
    </row>
    <row r="127" spans="1:36" s="331" customFormat="1" x14ac:dyDescent="0.25">
      <c r="A127" s="764" t="s">
        <v>621</v>
      </c>
      <c r="B127" s="762" t="s">
        <v>201</v>
      </c>
      <c r="C127" s="327" t="s">
        <v>1541</v>
      </c>
      <c r="D127" s="328">
        <v>60</v>
      </c>
      <c r="E127" s="763">
        <v>140</v>
      </c>
      <c r="F127" s="620"/>
      <c r="G127" s="763"/>
      <c r="H127" s="328"/>
      <c r="I127" s="763"/>
      <c r="J127" s="327" t="s">
        <v>33</v>
      </c>
      <c r="K127" s="327"/>
      <c r="L127" s="327"/>
    </row>
    <row r="128" spans="1:36" s="184" customFormat="1" x14ac:dyDescent="0.25">
      <c r="A128" s="695" t="s">
        <v>768</v>
      </c>
      <c r="B128" s="681" t="s">
        <v>202</v>
      </c>
      <c r="C128" s="289" t="s">
        <v>1541</v>
      </c>
      <c r="D128" s="269">
        <v>1290</v>
      </c>
      <c r="E128" s="757">
        <v>15120</v>
      </c>
      <c r="F128" s="544"/>
      <c r="G128" s="757"/>
      <c r="H128" s="269"/>
      <c r="I128" s="757"/>
      <c r="J128" s="245" t="s">
        <v>33</v>
      </c>
      <c r="K128" s="245"/>
      <c r="L128" s="245"/>
    </row>
    <row r="129" spans="1:36" s="184" customFormat="1" x14ac:dyDescent="0.25">
      <c r="A129" s="695" t="s">
        <v>96</v>
      </c>
      <c r="B129" s="681">
        <v>7815400</v>
      </c>
      <c r="C129" s="245" t="s">
        <v>1541</v>
      </c>
      <c r="D129" s="269">
        <v>92</v>
      </c>
      <c r="E129" s="757">
        <v>0</v>
      </c>
      <c r="F129" s="544"/>
      <c r="G129" s="757"/>
      <c r="H129" s="269"/>
      <c r="I129" s="757"/>
      <c r="J129" s="245" t="s">
        <v>33</v>
      </c>
      <c r="K129" s="245"/>
      <c r="L129" s="245"/>
    </row>
    <row r="130" spans="1:36" s="184" customFormat="1" x14ac:dyDescent="0.25">
      <c r="A130" s="695" t="s">
        <v>97</v>
      </c>
      <c r="B130" s="681" t="s">
        <v>204</v>
      </c>
      <c r="C130" s="245" t="s">
        <v>1541</v>
      </c>
      <c r="D130" s="269">
        <v>92</v>
      </c>
      <c r="E130" s="757">
        <v>0</v>
      </c>
      <c r="F130" s="544"/>
      <c r="G130" s="757"/>
      <c r="H130" s="269"/>
      <c r="I130" s="757"/>
      <c r="J130" s="245" t="s">
        <v>33</v>
      </c>
      <c r="K130" s="245"/>
      <c r="L130" s="245"/>
    </row>
    <row r="131" spans="1:36" s="184" customFormat="1" x14ac:dyDescent="0.25">
      <c r="A131" s="695" t="s">
        <v>98</v>
      </c>
      <c r="B131" s="681" t="s">
        <v>205</v>
      </c>
      <c r="C131" s="245" t="s">
        <v>1541</v>
      </c>
      <c r="D131" s="269">
        <v>34</v>
      </c>
      <c r="E131" s="757">
        <v>0</v>
      </c>
      <c r="F131" s="544"/>
      <c r="G131" s="757"/>
      <c r="H131" s="269"/>
      <c r="I131" s="757"/>
      <c r="J131" s="245" t="s">
        <v>33</v>
      </c>
      <c r="K131" s="245"/>
      <c r="L131" s="245"/>
    </row>
    <row r="132" spans="1:36" s="184" customFormat="1" x14ac:dyDescent="0.25">
      <c r="A132" s="695" t="s">
        <v>769</v>
      </c>
      <c r="B132" s="681" t="s">
        <v>206</v>
      </c>
      <c r="C132" s="245" t="s">
        <v>1541</v>
      </c>
      <c r="D132" s="269">
        <v>39</v>
      </c>
      <c r="E132" s="757">
        <v>0.6</v>
      </c>
      <c r="F132" s="544"/>
      <c r="G132" s="757"/>
      <c r="H132" s="269"/>
      <c r="I132" s="757"/>
      <c r="J132" s="245" t="s">
        <v>33</v>
      </c>
      <c r="K132" s="245"/>
      <c r="L132" s="245"/>
    </row>
    <row r="133" spans="1:36" s="184" customFormat="1" x14ac:dyDescent="0.25">
      <c r="A133" s="695" t="s">
        <v>100</v>
      </c>
      <c r="B133" s="768">
        <v>1323346600</v>
      </c>
      <c r="C133" s="245" t="s">
        <v>1541</v>
      </c>
      <c r="D133" s="269">
        <v>366</v>
      </c>
      <c r="E133" s="757">
        <v>2700</v>
      </c>
      <c r="F133" s="544"/>
      <c r="G133" s="757"/>
      <c r="H133" s="269"/>
      <c r="I133" s="757"/>
      <c r="J133" s="245" t="s">
        <v>33</v>
      </c>
      <c r="K133" s="245"/>
      <c r="L133" s="245"/>
    </row>
    <row r="134" spans="1:36" s="184" customFormat="1" x14ac:dyDescent="0.25">
      <c r="A134" s="695" t="s">
        <v>101</v>
      </c>
      <c r="B134" s="768">
        <v>1322699400</v>
      </c>
      <c r="C134" s="289" t="s">
        <v>1541</v>
      </c>
      <c r="D134" s="269">
        <v>421</v>
      </c>
      <c r="E134" s="757">
        <v>3960</v>
      </c>
      <c r="F134" s="544"/>
      <c r="G134" s="757"/>
      <c r="H134" s="269"/>
      <c r="I134" s="757"/>
      <c r="J134" s="245" t="s">
        <v>33</v>
      </c>
      <c r="K134" s="245"/>
      <c r="L134" s="245"/>
    </row>
    <row r="135" spans="1:36" s="677" customFormat="1" x14ac:dyDescent="0.25">
      <c r="A135" s="761" t="s">
        <v>772</v>
      </c>
      <c r="B135" s="769" t="s">
        <v>200</v>
      </c>
      <c r="C135" s="770" t="s">
        <v>1542</v>
      </c>
      <c r="D135" s="674">
        <v>258</v>
      </c>
      <c r="E135" s="771">
        <v>28.08</v>
      </c>
      <c r="F135" s="676"/>
      <c r="G135" s="771"/>
      <c r="H135" s="674"/>
      <c r="I135" s="771"/>
      <c r="J135" s="673" t="s">
        <v>33</v>
      </c>
      <c r="K135" s="673"/>
      <c r="L135" s="673"/>
    </row>
    <row r="136" spans="1:36" s="184" customFormat="1" x14ac:dyDescent="0.25">
      <c r="A136" s="695" t="s">
        <v>110</v>
      </c>
      <c r="B136" s="681" t="s">
        <v>207</v>
      </c>
      <c r="C136" s="245" t="s">
        <v>1541</v>
      </c>
      <c r="D136" s="269">
        <v>143</v>
      </c>
      <c r="E136" s="757">
        <v>564</v>
      </c>
      <c r="F136" s="544"/>
      <c r="G136" s="757"/>
      <c r="H136" s="269"/>
      <c r="I136" s="757"/>
      <c r="J136" s="245" t="s">
        <v>33</v>
      </c>
      <c r="K136" s="245"/>
      <c r="L136" s="245"/>
    </row>
    <row r="137" spans="1:36" s="184" customFormat="1" x14ac:dyDescent="0.25">
      <c r="A137" s="695" t="s">
        <v>111</v>
      </c>
      <c r="B137" s="681" t="s">
        <v>222</v>
      </c>
      <c r="C137" s="245"/>
      <c r="D137" s="269"/>
      <c r="E137" s="757"/>
      <c r="F137" s="544"/>
      <c r="G137" s="757"/>
      <c r="H137" s="269"/>
      <c r="I137" s="757"/>
      <c r="J137" s="245" t="s">
        <v>33</v>
      </c>
      <c r="K137" s="245"/>
      <c r="L137" s="245"/>
    </row>
    <row r="138" spans="1:36" s="184" customFormat="1" ht="15.75" customHeight="1" x14ac:dyDescent="0.25">
      <c r="A138" s="695" t="s">
        <v>117</v>
      </c>
      <c r="B138" s="681" t="s">
        <v>220</v>
      </c>
      <c r="C138" s="245" t="s">
        <v>1541</v>
      </c>
      <c r="D138" s="269">
        <v>79</v>
      </c>
      <c r="E138" s="757">
        <v>318</v>
      </c>
      <c r="F138" s="544"/>
      <c r="G138" s="757"/>
      <c r="H138" s="269"/>
      <c r="I138" s="757"/>
      <c r="J138" s="245" t="s">
        <v>33</v>
      </c>
      <c r="K138" s="245"/>
      <c r="L138" s="245"/>
    </row>
    <row r="139" spans="1:36" s="184" customFormat="1" x14ac:dyDescent="0.25">
      <c r="A139" s="695" t="s">
        <v>118</v>
      </c>
      <c r="B139" s="681" t="s">
        <v>221</v>
      </c>
      <c r="C139" s="289" t="s">
        <v>1541</v>
      </c>
      <c r="D139" s="269">
        <v>86</v>
      </c>
      <c r="E139" s="757">
        <v>605</v>
      </c>
      <c r="F139" s="544"/>
      <c r="G139" s="757"/>
      <c r="H139" s="269"/>
      <c r="I139" s="757"/>
      <c r="J139" s="245" t="s">
        <v>33</v>
      </c>
      <c r="K139" s="245"/>
      <c r="L139" s="245"/>
    </row>
    <row r="140" spans="1:36" s="184" customFormat="1" x14ac:dyDescent="0.25">
      <c r="A140" s="695" t="s">
        <v>701</v>
      </c>
      <c r="B140" s="681">
        <v>1323115001</v>
      </c>
      <c r="C140" s="289" t="s">
        <v>1541</v>
      </c>
      <c r="D140" s="269">
        <v>1529</v>
      </c>
      <c r="E140" s="757">
        <v>17040</v>
      </c>
      <c r="F140" s="544"/>
      <c r="G140" s="757"/>
      <c r="H140" s="269"/>
      <c r="I140" s="757"/>
      <c r="J140" s="245"/>
      <c r="K140" s="245"/>
      <c r="L140" s="245"/>
    </row>
    <row r="141" spans="1:36" s="184" customFormat="1" x14ac:dyDescent="0.25">
      <c r="A141" s="695" t="s">
        <v>683</v>
      </c>
      <c r="B141" s="681">
        <v>1322673502</v>
      </c>
      <c r="C141" s="289" t="s">
        <v>1541</v>
      </c>
      <c r="D141" s="269">
        <v>168</v>
      </c>
      <c r="E141" s="757">
        <v>1346</v>
      </c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8" t="s">
        <v>434</v>
      </c>
      <c r="B142" s="687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65</v>
      </c>
      <c r="B143" s="681" t="s">
        <v>163</v>
      </c>
      <c r="C143" s="245" t="s">
        <v>1541</v>
      </c>
      <c r="D143" s="269"/>
      <c r="E143" s="757"/>
      <c r="F143" s="544"/>
      <c r="G143" s="757"/>
      <c r="H143" s="269">
        <v>124.85</v>
      </c>
      <c r="I143" s="757">
        <v>166</v>
      </c>
      <c r="J143" s="245"/>
      <c r="K143" s="245"/>
      <c r="L143" s="245"/>
    </row>
    <row r="144" spans="1:36" s="184" customFormat="1" x14ac:dyDescent="0.25">
      <c r="A144" s="695" t="s">
        <v>37</v>
      </c>
      <c r="B144" s="681" t="s">
        <v>190</v>
      </c>
      <c r="C144" s="289" t="s">
        <v>1541</v>
      </c>
      <c r="D144" s="269"/>
      <c r="E144" s="757"/>
      <c r="F144" s="544"/>
      <c r="G144" s="757"/>
      <c r="H144" s="269">
        <v>134.59</v>
      </c>
      <c r="I144" s="757">
        <v>181</v>
      </c>
      <c r="J144" s="245"/>
      <c r="K144" s="245"/>
      <c r="L144" s="245"/>
    </row>
    <row r="145" spans="1:12" s="184" customFormat="1" x14ac:dyDescent="0.25">
      <c r="A145" s="695" t="s">
        <v>71</v>
      </c>
      <c r="B145" s="681" t="s">
        <v>188</v>
      </c>
      <c r="C145" s="245" t="s">
        <v>1541</v>
      </c>
      <c r="D145" s="269"/>
      <c r="E145" s="757"/>
      <c r="F145" s="544"/>
      <c r="G145" s="757"/>
      <c r="H145" s="269">
        <v>39.299999999999997</v>
      </c>
      <c r="I145" s="757">
        <v>13</v>
      </c>
      <c r="J145" s="245"/>
      <c r="K145" s="245"/>
      <c r="L145" s="245"/>
    </row>
    <row r="146" spans="1:12" s="184" customFormat="1" x14ac:dyDescent="0.25">
      <c r="A146" s="695" t="s">
        <v>72</v>
      </c>
      <c r="B146" s="681" t="s">
        <v>187</v>
      </c>
      <c r="C146" s="245" t="s">
        <v>1541</v>
      </c>
      <c r="D146" s="269"/>
      <c r="E146" s="757"/>
      <c r="F146" s="544"/>
      <c r="G146" s="757"/>
      <c r="H146" s="269">
        <v>39.299999999999997</v>
      </c>
      <c r="I146" s="757">
        <v>0</v>
      </c>
      <c r="J146" s="245"/>
      <c r="K146" s="245"/>
      <c r="L146" s="245"/>
    </row>
    <row r="147" spans="1:12" s="184" customFormat="1" x14ac:dyDescent="0.25">
      <c r="A147" s="695" t="s">
        <v>73</v>
      </c>
      <c r="B147" s="681" t="s">
        <v>171</v>
      </c>
      <c r="C147" s="245" t="s">
        <v>1541</v>
      </c>
      <c r="D147" s="269"/>
      <c r="E147" s="757"/>
      <c r="F147" s="544"/>
      <c r="G147" s="757"/>
      <c r="H147" s="269">
        <v>39.299999999999997</v>
      </c>
      <c r="I147" s="757">
        <v>20</v>
      </c>
      <c r="J147" s="245"/>
      <c r="K147" s="245"/>
      <c r="L147" s="245"/>
    </row>
    <row r="148" spans="1:12" s="184" customFormat="1" x14ac:dyDescent="0.25">
      <c r="A148" s="695" t="s">
        <v>74</v>
      </c>
      <c r="B148" s="681" t="s">
        <v>170</v>
      </c>
      <c r="C148" s="245" t="s">
        <v>1541</v>
      </c>
      <c r="D148" s="269"/>
      <c r="E148" s="757"/>
      <c r="F148" s="544"/>
      <c r="G148" s="757"/>
      <c r="H148" s="269">
        <v>39.299999999999997</v>
      </c>
      <c r="I148" s="757">
        <v>0</v>
      </c>
      <c r="J148" s="245"/>
      <c r="K148" s="245"/>
      <c r="L148" s="245"/>
    </row>
    <row r="149" spans="1:12" s="184" customFormat="1" x14ac:dyDescent="0.25">
      <c r="A149" s="695" t="s">
        <v>75</v>
      </c>
      <c r="B149" s="681" t="s">
        <v>189</v>
      </c>
      <c r="C149" s="245" t="s">
        <v>1541</v>
      </c>
      <c r="D149" s="269"/>
      <c r="E149" s="757"/>
      <c r="F149" s="544"/>
      <c r="G149" s="757"/>
      <c r="H149" s="269">
        <v>39.299999999999997</v>
      </c>
      <c r="I149" s="757">
        <v>16</v>
      </c>
      <c r="J149" s="245"/>
      <c r="K149" s="245"/>
      <c r="L149" s="245"/>
    </row>
    <row r="150" spans="1:12" s="184" customFormat="1" x14ac:dyDescent="0.25">
      <c r="A150" s="695" t="s">
        <v>76</v>
      </c>
      <c r="B150" s="681" t="s">
        <v>169</v>
      </c>
      <c r="C150" s="245" t="s">
        <v>1541</v>
      </c>
      <c r="D150" s="269"/>
      <c r="E150" s="757"/>
      <c r="F150" s="544"/>
      <c r="G150" s="757"/>
      <c r="H150" s="269">
        <v>39.299999999999997</v>
      </c>
      <c r="I150" s="757">
        <v>0</v>
      </c>
      <c r="J150" s="245"/>
      <c r="K150" s="245"/>
      <c r="L150" s="245"/>
    </row>
    <row r="151" spans="1:12" s="184" customFormat="1" x14ac:dyDescent="0.25">
      <c r="A151" s="695" t="s">
        <v>77</v>
      </c>
      <c r="B151" s="681" t="s">
        <v>168</v>
      </c>
      <c r="C151" s="245" t="s">
        <v>1541</v>
      </c>
      <c r="D151" s="269"/>
      <c r="E151" s="757"/>
      <c r="F151" s="544"/>
      <c r="G151" s="757"/>
      <c r="H151" s="269">
        <v>121.61</v>
      </c>
      <c r="I151" s="757">
        <v>161</v>
      </c>
      <c r="J151" s="245"/>
      <c r="K151" s="245"/>
      <c r="L151" s="245"/>
    </row>
    <row r="152" spans="1:12" s="184" customFormat="1" x14ac:dyDescent="0.25">
      <c r="A152" s="695" t="s">
        <v>78</v>
      </c>
      <c r="B152" s="681" t="s">
        <v>197</v>
      </c>
      <c r="C152" s="245" t="s">
        <v>1541</v>
      </c>
      <c r="D152" s="269"/>
      <c r="E152" s="757"/>
      <c r="F152" s="544"/>
      <c r="G152" s="757"/>
      <c r="H152" s="269">
        <v>39.299999999999997</v>
      </c>
      <c r="I152" s="757">
        <v>7</v>
      </c>
      <c r="J152" s="245"/>
      <c r="K152" s="245"/>
      <c r="L152" s="245"/>
    </row>
    <row r="153" spans="1:12" s="184" customFormat="1" x14ac:dyDescent="0.25">
      <c r="A153" s="695" t="s">
        <v>79</v>
      </c>
      <c r="B153" s="681" t="s">
        <v>167</v>
      </c>
      <c r="C153" s="289" t="s">
        <v>1541</v>
      </c>
      <c r="D153" s="269"/>
      <c r="E153" s="757"/>
      <c r="F153" s="544"/>
      <c r="G153" s="757"/>
      <c r="H153" s="269">
        <v>39.299999999999997</v>
      </c>
      <c r="I153" s="757">
        <v>0</v>
      </c>
      <c r="J153" s="245"/>
      <c r="K153" s="245"/>
      <c r="L153" s="245"/>
    </row>
    <row r="154" spans="1:12" s="184" customFormat="1" x14ac:dyDescent="0.25">
      <c r="A154" s="772" t="s">
        <v>80</v>
      </c>
      <c r="B154" s="773" t="s">
        <v>177</v>
      </c>
      <c r="C154" s="774" t="s">
        <v>1541</v>
      </c>
      <c r="D154" s="242"/>
      <c r="E154" s="749"/>
      <c r="F154" s="542"/>
      <c r="G154" s="749"/>
      <c r="H154" s="242">
        <v>39.299999999999997</v>
      </c>
      <c r="I154" s="749">
        <v>0</v>
      </c>
      <c r="J154" s="240"/>
      <c r="K154" s="245"/>
      <c r="L154" s="245"/>
    </row>
    <row r="155" spans="1:12" s="184" customFormat="1" x14ac:dyDescent="0.25">
      <c r="A155" s="695" t="s">
        <v>81</v>
      </c>
      <c r="B155" s="681" t="s">
        <v>180</v>
      </c>
      <c r="C155" s="245" t="s">
        <v>1541</v>
      </c>
      <c r="D155" s="269"/>
      <c r="E155" s="757"/>
      <c r="F155" s="544"/>
      <c r="G155" s="757"/>
      <c r="H155" s="269">
        <v>39.299999999999997</v>
      </c>
      <c r="I155" s="757">
        <v>0</v>
      </c>
      <c r="J155" s="245"/>
      <c r="K155" s="245"/>
      <c r="L155" s="245"/>
    </row>
    <row r="156" spans="1:12" s="184" customFormat="1" x14ac:dyDescent="0.25">
      <c r="A156" s="695" t="s">
        <v>82</v>
      </c>
      <c r="B156" s="681" t="s">
        <v>179</v>
      </c>
      <c r="C156" s="245" t="s">
        <v>1541</v>
      </c>
      <c r="D156" s="269"/>
      <c r="E156" s="757"/>
      <c r="F156" s="544"/>
      <c r="G156" s="757"/>
      <c r="H156" s="269">
        <v>39.299999999999997</v>
      </c>
      <c r="I156" s="757">
        <v>0</v>
      </c>
      <c r="J156" s="245"/>
      <c r="K156" s="245"/>
      <c r="L156" s="245"/>
    </row>
    <row r="157" spans="1:12" s="184" customFormat="1" x14ac:dyDescent="0.25">
      <c r="A157" s="695" t="s">
        <v>83</v>
      </c>
      <c r="B157" s="681" t="s">
        <v>178</v>
      </c>
      <c r="C157" s="245" t="s">
        <v>1541</v>
      </c>
      <c r="D157" s="269"/>
      <c r="E157" s="757"/>
      <c r="F157" s="544"/>
      <c r="G157" s="757"/>
      <c r="H157" s="269">
        <v>39</v>
      </c>
      <c r="I157" s="757">
        <v>0</v>
      </c>
      <c r="J157" s="245"/>
      <c r="K157" s="245"/>
      <c r="L157" s="245"/>
    </row>
    <row r="158" spans="1:12" s="184" customFormat="1" x14ac:dyDescent="0.25">
      <c r="A158" s="695" t="s">
        <v>84</v>
      </c>
      <c r="B158" s="681" t="s">
        <v>175</v>
      </c>
      <c r="C158" s="289" t="s">
        <v>1541</v>
      </c>
      <c r="D158" s="269"/>
      <c r="E158" s="757"/>
      <c r="F158" s="544"/>
      <c r="G158" s="757"/>
      <c r="H158" s="269">
        <v>39.299999999999997</v>
      </c>
      <c r="I158" s="757">
        <v>0</v>
      </c>
      <c r="J158" s="245"/>
      <c r="K158" s="245"/>
      <c r="L158" s="245"/>
    </row>
    <row r="159" spans="1:12" s="184" customFormat="1" x14ac:dyDescent="0.25">
      <c r="A159" s="695" t="s">
        <v>85</v>
      </c>
      <c r="B159" s="681" t="s">
        <v>184</v>
      </c>
      <c r="C159" s="245" t="s">
        <v>1541</v>
      </c>
      <c r="D159" s="269"/>
      <c r="E159" s="757"/>
      <c r="F159" s="544"/>
      <c r="G159" s="757"/>
      <c r="H159" s="269">
        <v>39.299999999999997</v>
      </c>
      <c r="I159" s="757">
        <v>0</v>
      </c>
      <c r="J159" s="245"/>
      <c r="K159" s="245"/>
      <c r="L159" s="245"/>
    </row>
    <row r="160" spans="1:12" s="184" customFormat="1" x14ac:dyDescent="0.25">
      <c r="A160" s="695" t="s">
        <v>86</v>
      </c>
      <c r="B160" s="681" t="s">
        <v>185</v>
      </c>
      <c r="C160" s="245" t="s">
        <v>1541</v>
      </c>
      <c r="D160" s="269"/>
      <c r="E160" s="757"/>
      <c r="F160" s="544"/>
      <c r="G160" s="757"/>
      <c r="H160" s="269">
        <v>39.299999999999997</v>
      </c>
      <c r="I160" s="757">
        <v>3</v>
      </c>
      <c r="J160" s="245"/>
      <c r="K160" s="245"/>
      <c r="L160" s="245"/>
    </row>
    <row r="161" spans="1:12" s="184" customFormat="1" x14ac:dyDescent="0.25">
      <c r="A161" s="695" t="s">
        <v>87</v>
      </c>
      <c r="B161" s="681" t="s">
        <v>181</v>
      </c>
      <c r="C161" s="245" t="s">
        <v>1541</v>
      </c>
      <c r="D161" s="269"/>
      <c r="E161" s="757"/>
      <c r="F161" s="544"/>
      <c r="G161" s="757"/>
      <c r="H161" s="269">
        <v>39.299999999999997</v>
      </c>
      <c r="I161" s="757">
        <v>0</v>
      </c>
      <c r="J161" s="245"/>
      <c r="K161" s="245"/>
      <c r="L161" s="245"/>
    </row>
    <row r="162" spans="1:12" s="184" customFormat="1" x14ac:dyDescent="0.25">
      <c r="A162" s="695" t="s">
        <v>88</v>
      </c>
      <c r="B162" s="681" t="s">
        <v>172</v>
      </c>
      <c r="C162" s="289" t="s">
        <v>1541</v>
      </c>
      <c r="D162" s="269"/>
      <c r="E162" s="757"/>
      <c r="F162" s="544"/>
      <c r="G162" s="757"/>
      <c r="H162" s="269">
        <v>39.299999999999997</v>
      </c>
      <c r="I162" s="757">
        <v>0</v>
      </c>
      <c r="J162" s="245"/>
      <c r="K162" s="245"/>
      <c r="L162" s="245"/>
    </row>
    <row r="163" spans="1:12" s="184" customFormat="1" x14ac:dyDescent="0.25">
      <c r="A163" s="695" t="s">
        <v>89</v>
      </c>
      <c r="B163" s="681" t="s">
        <v>173</v>
      </c>
      <c r="C163" s="245" t="s">
        <v>1541</v>
      </c>
      <c r="D163" s="269"/>
      <c r="E163" s="757"/>
      <c r="F163" s="544"/>
      <c r="G163" s="757"/>
      <c r="H163" s="269">
        <v>42.5</v>
      </c>
      <c r="I163" s="757">
        <v>26</v>
      </c>
      <c r="J163" s="245"/>
      <c r="K163" s="245"/>
      <c r="L163" s="245"/>
    </row>
    <row r="164" spans="1:12" s="184" customFormat="1" x14ac:dyDescent="0.25">
      <c r="A164" s="695" t="s">
        <v>90</v>
      </c>
      <c r="B164" s="681" t="s">
        <v>174</v>
      </c>
      <c r="C164" s="245" t="s">
        <v>1541</v>
      </c>
      <c r="D164" s="269"/>
      <c r="E164" s="757"/>
      <c r="F164" s="544"/>
      <c r="G164" s="757"/>
      <c r="H164" s="269">
        <v>39.299999999999997</v>
      </c>
      <c r="I164" s="757">
        <v>0</v>
      </c>
      <c r="J164" s="245"/>
      <c r="K164" s="245"/>
      <c r="L164" s="245"/>
    </row>
    <row r="165" spans="1:12" s="184" customFormat="1" x14ac:dyDescent="0.25">
      <c r="A165" s="695" t="s">
        <v>91</v>
      </c>
      <c r="B165" s="681" t="s">
        <v>182</v>
      </c>
      <c r="C165" s="245" t="s">
        <v>1541</v>
      </c>
      <c r="D165" s="269"/>
      <c r="E165" s="757"/>
      <c r="F165" s="544"/>
      <c r="G165" s="757"/>
      <c r="H165" s="269">
        <v>39.299999999999997</v>
      </c>
      <c r="I165" s="757">
        <v>5</v>
      </c>
      <c r="J165" s="245"/>
      <c r="K165" s="245"/>
      <c r="L165" s="245"/>
    </row>
    <row r="166" spans="1:12" s="184" customFormat="1" x14ac:dyDescent="0.25">
      <c r="A166" s="695" t="s">
        <v>92</v>
      </c>
      <c r="B166" s="681" t="s">
        <v>186</v>
      </c>
      <c r="C166" s="245" t="s">
        <v>1541</v>
      </c>
      <c r="D166" s="269"/>
      <c r="E166" s="757"/>
      <c r="F166" s="544"/>
      <c r="G166" s="757"/>
      <c r="H166" s="269">
        <v>39.299999999999997</v>
      </c>
      <c r="I166" s="757">
        <v>0</v>
      </c>
      <c r="J166" s="245"/>
      <c r="K166" s="245"/>
      <c r="L166" s="245"/>
    </row>
    <row r="167" spans="1:12" s="184" customFormat="1" x14ac:dyDescent="0.25">
      <c r="A167" s="695" t="s">
        <v>93</v>
      </c>
      <c r="B167" s="681" t="s">
        <v>183</v>
      </c>
      <c r="C167" s="245" t="s">
        <v>1541</v>
      </c>
      <c r="D167" s="269"/>
      <c r="E167" s="757"/>
      <c r="F167" s="544"/>
      <c r="G167" s="757"/>
      <c r="H167" s="269">
        <v>39.299999999999997</v>
      </c>
      <c r="I167" s="757">
        <v>0</v>
      </c>
      <c r="J167" s="245"/>
      <c r="K167" s="245"/>
      <c r="L167" s="245"/>
    </row>
    <row r="168" spans="1:12" s="184" customFormat="1" x14ac:dyDescent="0.25">
      <c r="A168" s="695" t="s">
        <v>103</v>
      </c>
      <c r="B168" s="681" t="s">
        <v>194</v>
      </c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</row>
    <row r="169" spans="1:12" s="184" customFormat="1" ht="26.25" x14ac:dyDescent="0.25">
      <c r="A169" s="695" t="s">
        <v>983</v>
      </c>
      <c r="B169" s="681" t="s">
        <v>981</v>
      </c>
      <c r="C169" s="245" t="s">
        <v>1541</v>
      </c>
      <c r="D169" s="269"/>
      <c r="E169" s="757"/>
      <c r="F169" s="544"/>
      <c r="G169" s="757"/>
      <c r="H169" s="269">
        <v>39.299999999999997</v>
      </c>
      <c r="I169" s="757">
        <v>0</v>
      </c>
      <c r="J169" s="245"/>
      <c r="K169" s="245"/>
      <c r="L169" s="245"/>
    </row>
    <row r="170" spans="1:12" s="184" customFormat="1" x14ac:dyDescent="0.25">
      <c r="A170" s="695" t="s">
        <v>980</v>
      </c>
      <c r="B170" s="681" t="s">
        <v>196</v>
      </c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</row>
    <row r="171" spans="1:12" s="184" customFormat="1" x14ac:dyDescent="0.25">
      <c r="A171" s="695" t="s">
        <v>1076</v>
      </c>
      <c r="B171" s="681" t="s">
        <v>166</v>
      </c>
      <c r="C171" s="245" t="s">
        <v>1541</v>
      </c>
      <c r="D171" s="269"/>
      <c r="E171" s="757"/>
      <c r="F171" s="544"/>
      <c r="G171" s="757"/>
      <c r="H171" s="269">
        <v>41.44</v>
      </c>
      <c r="I171" s="757">
        <v>24</v>
      </c>
      <c r="J171" s="245"/>
      <c r="K171" s="245"/>
      <c r="L171" s="245"/>
    </row>
    <row r="172" spans="1:12" s="184" customFormat="1" x14ac:dyDescent="0.25">
      <c r="A172" s="695" t="s">
        <v>1077</v>
      </c>
      <c r="B172" s="681" t="s">
        <v>193</v>
      </c>
      <c r="C172" s="245" t="s">
        <v>1541</v>
      </c>
      <c r="D172" s="269"/>
      <c r="E172" s="757"/>
      <c r="F172" s="544"/>
      <c r="G172" s="757"/>
      <c r="H172" s="269">
        <v>39.299999999999997</v>
      </c>
      <c r="I172" s="757">
        <v>13</v>
      </c>
      <c r="J172" s="245"/>
      <c r="K172" s="245"/>
      <c r="L172" s="245"/>
    </row>
    <row r="173" spans="1:12" s="184" customFormat="1" x14ac:dyDescent="0.25">
      <c r="A173" s="695" t="s">
        <v>1075</v>
      </c>
      <c r="B173" s="681" t="s">
        <v>192</v>
      </c>
      <c r="C173" s="245" t="s">
        <v>1541</v>
      </c>
      <c r="D173" s="269"/>
      <c r="E173" s="757"/>
      <c r="F173" s="544"/>
      <c r="G173" s="757"/>
      <c r="H173" s="269">
        <v>39.299999999999997</v>
      </c>
      <c r="I173" s="757">
        <v>0</v>
      </c>
      <c r="J173" s="245"/>
      <c r="K173" s="245"/>
      <c r="L173" s="245"/>
    </row>
    <row r="174" spans="1:12" s="184" customFormat="1" x14ac:dyDescent="0.25">
      <c r="A174" s="695" t="s">
        <v>1066</v>
      </c>
      <c r="B174" s="681" t="s">
        <v>139</v>
      </c>
      <c r="C174" s="245" t="s">
        <v>1529</v>
      </c>
      <c r="D174" s="269"/>
      <c r="E174" s="757"/>
      <c r="F174" s="544"/>
      <c r="G174" s="757"/>
      <c r="H174" s="269">
        <v>40.369999999999997</v>
      </c>
      <c r="I174" s="757">
        <v>22</v>
      </c>
      <c r="J174" s="245"/>
      <c r="K174" s="245"/>
      <c r="L174" s="245"/>
    </row>
    <row r="175" spans="1:12" s="184" customFormat="1" x14ac:dyDescent="0.25">
      <c r="A175" s="695" t="s">
        <v>64</v>
      </c>
      <c r="B175" s="681" t="s">
        <v>191</v>
      </c>
      <c r="C175" s="289"/>
      <c r="D175" s="269"/>
      <c r="E175" s="757"/>
      <c r="F175" s="544"/>
      <c r="G175" s="757"/>
      <c r="H175" s="269"/>
      <c r="I175" s="757"/>
      <c r="J175" s="245"/>
      <c r="K175" s="245"/>
      <c r="L175" s="245"/>
    </row>
    <row r="176" spans="1:12" s="184" customFormat="1" x14ac:dyDescent="0.25">
      <c r="A176" s="695" t="s">
        <v>1093</v>
      </c>
      <c r="B176" s="681" t="s">
        <v>131</v>
      </c>
      <c r="C176" s="245" t="s">
        <v>1529</v>
      </c>
      <c r="D176" s="269"/>
      <c r="E176" s="757"/>
      <c r="F176" s="544"/>
      <c r="G176" s="757"/>
      <c r="H176" s="269">
        <v>39.299999999999997</v>
      </c>
      <c r="I176" s="757">
        <v>0</v>
      </c>
      <c r="J176" s="245"/>
      <c r="K176" s="245"/>
      <c r="L176" s="245"/>
    </row>
    <row r="177" spans="1:36" s="184" customFormat="1" x14ac:dyDescent="0.25">
      <c r="A177" s="695" t="s">
        <v>1092</v>
      </c>
      <c r="B177" s="681" t="s">
        <v>133</v>
      </c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</row>
    <row r="178" spans="1:36" s="184" customFormat="1" x14ac:dyDescent="0.25">
      <c r="A178" s="761" t="s">
        <v>309</v>
      </c>
      <c r="B178" s="681" t="s">
        <v>135</v>
      </c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</row>
    <row r="179" spans="1:36" s="184" customFormat="1" x14ac:dyDescent="0.25">
      <c r="A179" s="761" t="s">
        <v>1091</v>
      </c>
      <c r="B179" s="681" t="s">
        <v>138</v>
      </c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</row>
    <row r="180" spans="1:36" s="184" customFormat="1" x14ac:dyDescent="0.25">
      <c r="A180" s="695" t="s">
        <v>1090</v>
      </c>
      <c r="B180" s="681" t="s">
        <v>141</v>
      </c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</row>
    <row r="181" spans="1:36" s="184" customFormat="1" x14ac:dyDescent="0.25">
      <c r="A181" s="695" t="s">
        <v>1089</v>
      </c>
      <c r="B181" s="681" t="s">
        <v>143</v>
      </c>
      <c r="C181" s="289"/>
      <c r="D181" s="269"/>
      <c r="E181" s="757"/>
      <c r="F181" s="544"/>
      <c r="G181" s="757"/>
      <c r="H181" s="269"/>
      <c r="I181" s="757"/>
      <c r="J181" s="245"/>
      <c r="K181" s="245"/>
      <c r="L181" s="245"/>
    </row>
    <row r="182" spans="1:36" s="184" customFormat="1" x14ac:dyDescent="0.25">
      <c r="A182" s="695" t="s">
        <v>1088</v>
      </c>
      <c r="B182" s="681" t="s">
        <v>145</v>
      </c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</row>
    <row r="183" spans="1:36" s="184" customFormat="1" x14ac:dyDescent="0.25">
      <c r="A183" s="695" t="s">
        <v>1086</v>
      </c>
      <c r="B183" s="681" t="s">
        <v>147</v>
      </c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</row>
    <row r="184" spans="1:36" s="184" customFormat="1" x14ac:dyDescent="0.25">
      <c r="A184" s="695" t="s">
        <v>176</v>
      </c>
      <c r="B184" s="759" t="s">
        <v>165</v>
      </c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</row>
    <row r="185" spans="1:36" s="199" customFormat="1" x14ac:dyDescent="0.25">
      <c r="A185" s="698" t="s">
        <v>433</v>
      </c>
      <c r="B185" s="690"/>
      <c r="C185" s="249"/>
      <c r="D185" s="250"/>
      <c r="E185" s="750"/>
      <c r="F185" s="543"/>
      <c r="G185" s="750"/>
      <c r="H185" s="250"/>
      <c r="I185" s="750"/>
      <c r="J185" s="249"/>
      <c r="K185" s="249"/>
      <c r="L185" s="249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5" t="s">
        <v>107</v>
      </c>
      <c r="B186" s="681">
        <v>67</v>
      </c>
      <c r="C186" s="289" t="s">
        <v>1547</v>
      </c>
      <c r="D186" s="269"/>
      <c r="E186" s="757"/>
      <c r="F186" s="544"/>
      <c r="G186" s="757"/>
      <c r="H186" s="269">
        <v>50</v>
      </c>
      <c r="I186" s="757">
        <v>0</v>
      </c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5" t="s">
        <v>109</v>
      </c>
      <c r="B187" s="775">
        <v>95</v>
      </c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</row>
    <row r="188" spans="1:36" s="199" customFormat="1" x14ac:dyDescent="0.25">
      <c r="A188" s="694" t="s">
        <v>432</v>
      </c>
      <c r="B188" s="691"/>
      <c r="C188" s="249"/>
      <c r="D188" s="250"/>
      <c r="E188" s="750"/>
      <c r="F188" s="543"/>
      <c r="G188" s="750"/>
      <c r="H188" s="250"/>
      <c r="I188" s="750"/>
      <c r="J188" s="249"/>
      <c r="K188" s="249"/>
      <c r="L188" s="24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49" customFormat="1" x14ac:dyDescent="0.25">
      <c r="A189" s="695" t="s">
        <v>1137</v>
      </c>
      <c r="B189" s="759">
        <v>61</v>
      </c>
      <c r="C189" s="289">
        <v>43871</v>
      </c>
      <c r="D189" s="269"/>
      <c r="E189" s="757"/>
      <c r="F189" s="544"/>
      <c r="G189" s="757"/>
      <c r="H189" s="269">
        <v>35</v>
      </c>
      <c r="I189" s="757">
        <v>10</v>
      </c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99" customFormat="1" x14ac:dyDescent="0.25">
      <c r="A190" s="698" t="s">
        <v>431</v>
      </c>
      <c r="B190" s="690"/>
      <c r="C190" s="249"/>
      <c r="D190" s="250"/>
      <c r="E190" s="750"/>
      <c r="F190" s="543"/>
      <c r="G190" s="750"/>
      <c r="H190" s="250"/>
      <c r="I190" s="750"/>
      <c r="J190" s="249"/>
      <c r="K190" s="249"/>
      <c r="L190" s="24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ht="26.25" x14ac:dyDescent="0.25">
      <c r="A191" s="695" t="s">
        <v>40</v>
      </c>
      <c r="B191" s="759">
        <v>95</v>
      </c>
      <c r="C191" s="289" t="s">
        <v>1543</v>
      </c>
      <c r="D191" s="269"/>
      <c r="E191" s="757"/>
      <c r="F191" s="544"/>
      <c r="G191" s="757"/>
      <c r="H191" s="269">
        <v>57.55</v>
      </c>
      <c r="I191" s="757">
        <v>6100</v>
      </c>
      <c r="J191" s="245"/>
      <c r="K191" s="245"/>
      <c r="L191" s="245"/>
    </row>
    <row r="192" spans="1:36" s="199" customFormat="1" ht="26.25" x14ac:dyDescent="0.25">
      <c r="A192" s="698" t="s">
        <v>430</v>
      </c>
      <c r="B192" s="690" t="s">
        <v>356</v>
      </c>
      <c r="C192" s="303"/>
      <c r="D192" s="250"/>
      <c r="E192" s="750"/>
      <c r="F192" s="543"/>
      <c r="G192" s="750"/>
      <c r="H192" s="250"/>
      <c r="I192" s="750"/>
      <c r="J192" s="249"/>
      <c r="K192" s="249"/>
      <c r="L192" s="249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88" s="149" customFormat="1" x14ac:dyDescent="0.25">
      <c r="A193" s="695" t="s">
        <v>355</v>
      </c>
      <c r="B193" s="692"/>
      <c r="C193" s="289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</row>
    <row r="194" spans="1:88" s="359" customFormat="1" ht="46.5" customHeight="1" x14ac:dyDescent="0.25">
      <c r="A194" s="715"/>
      <c r="B194" s="715"/>
      <c r="C194" s="355"/>
      <c r="D194" s="356"/>
      <c r="E194" s="758"/>
      <c r="F194" s="717"/>
      <c r="G194" s="758"/>
      <c r="H194" s="356"/>
      <c r="I194" s="758"/>
      <c r="J194" s="718"/>
      <c r="K194" s="355"/>
      <c r="L194" s="355"/>
    </row>
    <row r="195" spans="1:88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88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88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88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88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88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88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88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88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88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88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88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88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88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  <row r="263" spans="1:36" s="184" customFormat="1" x14ac:dyDescent="0.25">
      <c r="A263" s="692"/>
      <c r="B263" s="692"/>
      <c r="C263" s="245"/>
      <c r="D263" s="269"/>
      <c r="E263" s="757"/>
      <c r="F263" s="544"/>
      <c r="G263" s="757"/>
      <c r="H263" s="269"/>
      <c r="I263" s="757"/>
      <c r="J263" s="245"/>
      <c r="K263" s="245"/>
      <c r="L263" s="245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</row>
    <row r="264" spans="1:36" s="184" customFormat="1" x14ac:dyDescent="0.25">
      <c r="A264" s="692"/>
      <c r="B264" s="692"/>
      <c r="C264" s="245"/>
      <c r="D264" s="269"/>
      <c r="E264" s="757"/>
      <c r="F264" s="544"/>
      <c r="G264" s="757"/>
      <c r="H264" s="269"/>
      <c r="I264" s="757"/>
      <c r="J264" s="245"/>
      <c r="K264" s="245"/>
      <c r="L264" s="245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</row>
    <row r="265" spans="1:36" s="184" customFormat="1" x14ac:dyDescent="0.25">
      <c r="A265" s="692"/>
      <c r="B265" s="692"/>
      <c r="C265" s="245"/>
      <c r="D265" s="269"/>
      <c r="E265" s="757"/>
      <c r="F265" s="544"/>
      <c r="G265" s="757"/>
      <c r="H265" s="269"/>
      <c r="I265" s="757"/>
      <c r="J265" s="245"/>
      <c r="K265" s="245"/>
      <c r="L265" s="24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</row>
    <row r="266" spans="1:36" s="184" customFormat="1" x14ac:dyDescent="0.25">
      <c r="A266" s="692"/>
      <c r="B266" s="692"/>
      <c r="C266" s="245"/>
      <c r="D266" s="269"/>
      <c r="E266" s="757"/>
      <c r="F266" s="544"/>
      <c r="G266" s="757"/>
      <c r="H266" s="269"/>
      <c r="I266" s="757"/>
      <c r="J266" s="245"/>
      <c r="K266" s="245"/>
      <c r="L266" s="245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</row>
    <row r="267" spans="1:36" s="184" customFormat="1" x14ac:dyDescent="0.25">
      <c r="A267" s="692"/>
      <c r="B267" s="692"/>
      <c r="C267" s="245"/>
      <c r="D267" s="269"/>
      <c r="E267" s="757"/>
      <c r="F267" s="544"/>
      <c r="G267" s="757"/>
      <c r="H267" s="269"/>
      <c r="I267" s="757"/>
      <c r="J267" s="245"/>
      <c r="K267" s="245"/>
      <c r="L267" s="245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</row>
    <row r="268" spans="1:36" s="184" customFormat="1" x14ac:dyDescent="0.25">
      <c r="A268" s="692"/>
      <c r="B268" s="692"/>
      <c r="C268" s="245"/>
      <c r="D268" s="269"/>
      <c r="E268" s="757"/>
      <c r="F268" s="544"/>
      <c r="G268" s="757"/>
      <c r="H268" s="269"/>
      <c r="I268" s="757"/>
      <c r="J268" s="245"/>
      <c r="K268" s="245"/>
      <c r="L268" s="245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</row>
    <row r="269" spans="1:36" s="184" customFormat="1" x14ac:dyDescent="0.25">
      <c r="A269" s="692"/>
      <c r="B269" s="692"/>
      <c r="C269" s="245"/>
      <c r="D269" s="269"/>
      <c r="E269" s="757"/>
      <c r="F269" s="544"/>
      <c r="G269" s="757"/>
      <c r="H269" s="269"/>
      <c r="I269" s="757"/>
      <c r="J269" s="245"/>
      <c r="K269" s="245"/>
      <c r="L269" s="245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</row>
    <row r="270" spans="1:36" s="184" customFormat="1" x14ac:dyDescent="0.25">
      <c r="A270" s="692"/>
      <c r="B270" s="692"/>
      <c r="C270" s="245"/>
      <c r="D270" s="269"/>
      <c r="E270" s="757"/>
      <c r="F270" s="544"/>
      <c r="G270" s="757"/>
      <c r="H270" s="269"/>
      <c r="I270" s="757"/>
      <c r="J270" s="245"/>
      <c r="K270" s="245"/>
      <c r="L270" s="245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</row>
    <row r="271" spans="1:36" s="184" customFormat="1" x14ac:dyDescent="0.25">
      <c r="A271" s="692"/>
      <c r="B271" s="692"/>
      <c r="C271" s="245"/>
      <c r="D271" s="269"/>
      <c r="E271" s="757"/>
      <c r="F271" s="544"/>
      <c r="G271" s="757"/>
      <c r="H271" s="269"/>
      <c r="I271" s="757"/>
      <c r="J271" s="245"/>
      <c r="K271" s="245"/>
      <c r="L271" s="245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</row>
    <row r="272" spans="1:36" s="184" customFormat="1" x14ac:dyDescent="0.25">
      <c r="A272" s="692"/>
      <c r="B272" s="692"/>
      <c r="C272" s="245"/>
      <c r="D272" s="269"/>
      <c r="E272" s="757"/>
      <c r="F272" s="544"/>
      <c r="G272" s="757"/>
      <c r="H272" s="269"/>
      <c r="I272" s="757"/>
      <c r="J272" s="245"/>
      <c r="K272" s="245"/>
      <c r="L272" s="245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</row>
    <row r="273" spans="1:36" s="184" customFormat="1" x14ac:dyDescent="0.25">
      <c r="A273" s="692"/>
      <c r="B273" s="692"/>
      <c r="C273" s="245"/>
      <c r="D273" s="269"/>
      <c r="E273" s="757"/>
      <c r="F273" s="544"/>
      <c r="G273" s="757"/>
      <c r="H273" s="269"/>
      <c r="I273" s="757"/>
      <c r="J273" s="245"/>
      <c r="K273" s="245"/>
      <c r="L273" s="245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</row>
    <row r="274" spans="1:36" s="184" customFormat="1" x14ac:dyDescent="0.25">
      <c r="A274" s="692"/>
      <c r="B274" s="692"/>
      <c r="C274" s="245"/>
      <c r="D274" s="269"/>
      <c r="E274" s="757"/>
      <c r="F274" s="544"/>
      <c r="G274" s="757"/>
      <c r="H274" s="269"/>
      <c r="I274" s="757"/>
      <c r="J274" s="245"/>
      <c r="K274" s="245"/>
      <c r="L274" s="245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</row>
    <row r="275" spans="1:36" s="184" customFormat="1" x14ac:dyDescent="0.25">
      <c r="A275" s="692"/>
      <c r="B275" s="692"/>
      <c r="C275" s="245"/>
      <c r="D275" s="269"/>
      <c r="E275" s="757"/>
      <c r="F275" s="544"/>
      <c r="G275" s="757"/>
      <c r="H275" s="269"/>
      <c r="I275" s="757"/>
      <c r="J275" s="245"/>
      <c r="K275" s="245"/>
      <c r="L275" s="24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</row>
    <row r="276" spans="1:36" s="184" customFormat="1" x14ac:dyDescent="0.25">
      <c r="A276" s="692"/>
      <c r="B276" s="692"/>
      <c r="C276" s="245"/>
      <c r="D276" s="269"/>
      <c r="E276" s="757"/>
      <c r="F276" s="544"/>
      <c r="G276" s="757"/>
      <c r="H276" s="269"/>
      <c r="I276" s="757"/>
      <c r="J276" s="245"/>
      <c r="K276" s="245"/>
      <c r="L276" s="245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</row>
    <row r="277" spans="1:36" s="184" customFormat="1" x14ac:dyDescent="0.25">
      <c r="A277" s="692"/>
      <c r="B277" s="692"/>
      <c r="C277" s="245"/>
      <c r="D277" s="269"/>
      <c r="E277" s="757"/>
      <c r="F277" s="544"/>
      <c r="G277" s="757"/>
      <c r="H277" s="269"/>
      <c r="I277" s="757"/>
      <c r="J277" s="245"/>
      <c r="K277" s="245"/>
      <c r="L277" s="245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</row>
    <row r="278" spans="1:36" s="184" customFormat="1" x14ac:dyDescent="0.25">
      <c r="A278" s="692"/>
      <c r="B278" s="692"/>
      <c r="C278" s="245"/>
      <c r="D278" s="269"/>
      <c r="E278" s="757"/>
      <c r="F278" s="544"/>
      <c r="G278" s="757"/>
      <c r="H278" s="269"/>
      <c r="I278" s="757"/>
      <c r="J278" s="245"/>
      <c r="K278" s="245"/>
      <c r="L278" s="245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</row>
    <row r="279" spans="1:36" s="184" customFormat="1" x14ac:dyDescent="0.25">
      <c r="A279" s="692"/>
      <c r="B279" s="692"/>
      <c r="C279" s="245"/>
      <c r="D279" s="269"/>
      <c r="E279" s="757"/>
      <c r="F279" s="544"/>
      <c r="G279" s="757"/>
      <c r="H279" s="269"/>
      <c r="I279" s="757"/>
      <c r="J279" s="245"/>
      <c r="K279" s="245"/>
      <c r="L279" s="245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</row>
    <row r="280" spans="1:36" s="184" customFormat="1" x14ac:dyDescent="0.25">
      <c r="A280" s="692"/>
      <c r="B280" s="692"/>
      <c r="C280" s="245"/>
      <c r="D280" s="269"/>
      <c r="E280" s="757"/>
      <c r="F280" s="544"/>
      <c r="G280" s="757"/>
      <c r="H280" s="269"/>
      <c r="I280" s="757"/>
      <c r="J280" s="245"/>
      <c r="K280" s="245"/>
      <c r="L280" s="245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</row>
    <row r="281" spans="1:36" s="184" customFormat="1" x14ac:dyDescent="0.25">
      <c r="A281" s="692"/>
      <c r="B281" s="692"/>
      <c r="C281" s="245"/>
      <c r="D281" s="269"/>
      <c r="E281" s="757"/>
      <c r="F281" s="544"/>
      <c r="G281" s="757"/>
      <c r="H281" s="269"/>
      <c r="I281" s="757"/>
      <c r="J281" s="245"/>
      <c r="K281" s="245"/>
      <c r="L281" s="245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</row>
    <row r="282" spans="1:36" s="184" customFormat="1" x14ac:dyDescent="0.25">
      <c r="A282" s="692"/>
      <c r="B282" s="692"/>
      <c r="C282" s="245"/>
      <c r="D282" s="269"/>
      <c r="E282" s="757"/>
      <c r="F282" s="544"/>
      <c r="G282" s="757"/>
      <c r="H282" s="269"/>
      <c r="I282" s="757"/>
      <c r="J282" s="245"/>
      <c r="K282" s="245"/>
      <c r="L282" s="245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</row>
    <row r="283" spans="1:36" s="184" customFormat="1" x14ac:dyDescent="0.25">
      <c r="A283" s="692"/>
      <c r="B283" s="692"/>
      <c r="C283" s="245"/>
      <c r="D283" s="269"/>
      <c r="E283" s="757"/>
      <c r="F283" s="544"/>
      <c r="G283" s="757"/>
      <c r="H283" s="269"/>
      <c r="I283" s="757"/>
      <c r="J283" s="245"/>
      <c r="K283" s="245"/>
      <c r="L283" s="245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</row>
    <row r="284" spans="1:36" s="184" customFormat="1" x14ac:dyDescent="0.25">
      <c r="A284" s="692"/>
      <c r="B284" s="692"/>
      <c r="C284" s="245"/>
      <c r="D284" s="269"/>
      <c r="E284" s="757"/>
      <c r="F284" s="544"/>
      <c r="G284" s="757"/>
      <c r="H284" s="269"/>
      <c r="I284" s="757"/>
      <c r="J284" s="245"/>
      <c r="K284" s="245"/>
      <c r="L284" s="245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</row>
    <row r="285" spans="1:36" s="184" customFormat="1" x14ac:dyDescent="0.25">
      <c r="A285" s="692"/>
      <c r="B285" s="692"/>
      <c r="C285" s="245"/>
      <c r="D285" s="269"/>
      <c r="E285" s="757"/>
      <c r="F285" s="544"/>
      <c r="G285" s="757"/>
      <c r="H285" s="269"/>
      <c r="I285" s="757"/>
      <c r="J285" s="245"/>
      <c r="K285" s="245"/>
      <c r="L285" s="24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</row>
    <row r="286" spans="1:36" s="184" customFormat="1" x14ac:dyDescent="0.25">
      <c r="A286" s="692"/>
      <c r="B286" s="692"/>
      <c r="C286" s="245"/>
      <c r="D286" s="269"/>
      <c r="E286" s="757"/>
      <c r="F286" s="544"/>
      <c r="G286" s="757"/>
      <c r="H286" s="269"/>
      <c r="I286" s="757"/>
      <c r="J286" s="245"/>
      <c r="K286" s="245"/>
      <c r="L286" s="245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</row>
    <row r="287" spans="1:36" s="184" customFormat="1" x14ac:dyDescent="0.25">
      <c r="A287" s="692"/>
      <c r="B287" s="692"/>
      <c r="C287" s="245"/>
      <c r="D287" s="269"/>
      <c r="E287" s="757"/>
      <c r="F287" s="544"/>
      <c r="G287" s="757"/>
      <c r="H287" s="269"/>
      <c r="I287" s="757"/>
      <c r="J287" s="245"/>
      <c r="K287" s="245"/>
      <c r="L287" s="245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</row>
    <row r="288" spans="1:36" s="184" customFormat="1" x14ac:dyDescent="0.25">
      <c r="A288" s="692"/>
      <c r="B288" s="692"/>
      <c r="C288" s="245"/>
      <c r="D288" s="269"/>
      <c r="E288" s="757"/>
      <c r="F288" s="544"/>
      <c r="G288" s="757"/>
      <c r="H288" s="269"/>
      <c r="I288" s="757"/>
      <c r="J288" s="245"/>
      <c r="K288" s="245"/>
      <c r="L288" s="245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</row>
    <row r="289" spans="1:36" s="184" customFormat="1" x14ac:dyDescent="0.25">
      <c r="A289" s="692"/>
      <c r="B289" s="692"/>
      <c r="C289" s="245"/>
      <c r="D289" s="269"/>
      <c r="E289" s="757"/>
      <c r="F289" s="544"/>
      <c r="G289" s="757"/>
      <c r="H289" s="269"/>
      <c r="I289" s="757"/>
      <c r="J289" s="245"/>
      <c r="K289" s="245"/>
      <c r="L289" s="245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</row>
    <row r="290" spans="1:36" s="184" customFormat="1" x14ac:dyDescent="0.25">
      <c r="A290" s="692"/>
      <c r="B290" s="692"/>
      <c r="C290" s="245"/>
      <c r="D290" s="269"/>
      <c r="E290" s="757"/>
      <c r="F290" s="544"/>
      <c r="G290" s="757"/>
      <c r="H290" s="269"/>
      <c r="I290" s="757"/>
      <c r="J290" s="245"/>
      <c r="K290" s="245"/>
      <c r="L290" s="245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</row>
    <row r="291" spans="1:36" s="184" customFormat="1" x14ac:dyDescent="0.25">
      <c r="A291" s="692"/>
      <c r="B291" s="692"/>
      <c r="C291" s="245"/>
      <c r="D291" s="269"/>
      <c r="E291" s="757"/>
      <c r="F291" s="544"/>
      <c r="G291" s="757"/>
      <c r="H291" s="269"/>
      <c r="I291" s="757"/>
      <c r="J291" s="245"/>
      <c r="K291" s="245"/>
      <c r="L291" s="245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</row>
    <row r="292" spans="1:36" s="184" customFormat="1" x14ac:dyDescent="0.25">
      <c r="A292" s="692"/>
      <c r="B292" s="692"/>
      <c r="C292" s="245"/>
      <c r="D292" s="269"/>
      <c r="E292" s="757"/>
      <c r="F292" s="544"/>
      <c r="G292" s="757"/>
      <c r="H292" s="269"/>
      <c r="I292" s="757"/>
      <c r="J292" s="245"/>
      <c r="K292" s="245"/>
      <c r="L292" s="245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</row>
    <row r="293" spans="1:36" s="184" customFormat="1" x14ac:dyDescent="0.25">
      <c r="A293" s="692"/>
      <c r="B293" s="692"/>
      <c r="C293" s="245"/>
      <c r="D293" s="269"/>
      <c r="E293" s="757"/>
      <c r="F293" s="544"/>
      <c r="G293" s="757"/>
      <c r="H293" s="269"/>
      <c r="I293" s="757"/>
      <c r="J293" s="245"/>
      <c r="K293" s="245"/>
      <c r="L293" s="245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</row>
    <row r="294" spans="1:36" s="184" customFormat="1" x14ac:dyDescent="0.25">
      <c r="A294" s="692"/>
      <c r="B294" s="692"/>
      <c r="C294" s="245"/>
      <c r="D294" s="269"/>
      <c r="E294" s="757"/>
      <c r="F294" s="544"/>
      <c r="G294" s="757"/>
      <c r="H294" s="269"/>
      <c r="I294" s="757"/>
      <c r="J294" s="245"/>
      <c r="K294" s="245"/>
      <c r="L294" s="245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</row>
    <row r="295" spans="1:36" s="184" customFormat="1" x14ac:dyDescent="0.25">
      <c r="A295" s="692"/>
      <c r="B295" s="692"/>
      <c r="C295" s="245"/>
      <c r="D295" s="269"/>
      <c r="E295" s="757"/>
      <c r="F295" s="544"/>
      <c r="G295" s="757"/>
      <c r="H295" s="269"/>
      <c r="I295" s="757"/>
      <c r="J295" s="245"/>
      <c r="K295" s="245"/>
      <c r="L295" s="24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</row>
    <row r="296" spans="1:36" s="184" customFormat="1" x14ac:dyDescent="0.25">
      <c r="A296" s="692"/>
      <c r="B296" s="692"/>
      <c r="C296" s="245"/>
      <c r="D296" s="269"/>
      <c r="E296" s="757"/>
      <c r="F296" s="544"/>
      <c r="G296" s="757"/>
      <c r="H296" s="269"/>
      <c r="I296" s="757"/>
      <c r="J296" s="245"/>
      <c r="K296" s="245"/>
      <c r="L296" s="245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</row>
    <row r="297" spans="1:36" s="184" customFormat="1" x14ac:dyDescent="0.25">
      <c r="A297" s="692"/>
      <c r="B297" s="692"/>
      <c r="C297" s="245"/>
      <c r="D297" s="269"/>
      <c r="E297" s="757"/>
      <c r="F297" s="544"/>
      <c r="G297" s="757"/>
      <c r="H297" s="269"/>
      <c r="I297" s="757"/>
      <c r="J297" s="245"/>
      <c r="K297" s="245"/>
      <c r="L297" s="245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</row>
    <row r="298" spans="1:36" s="184" customFormat="1" x14ac:dyDescent="0.25">
      <c r="A298" s="692"/>
      <c r="B298" s="692"/>
      <c r="C298" s="245"/>
      <c r="D298" s="269"/>
      <c r="E298" s="757"/>
      <c r="F298" s="544"/>
      <c r="G298" s="757"/>
      <c r="H298" s="269"/>
      <c r="I298" s="757"/>
      <c r="J298" s="245"/>
      <c r="K298" s="245"/>
      <c r="L298" s="245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</row>
    <row r="299" spans="1:36" s="184" customFormat="1" x14ac:dyDescent="0.25">
      <c r="A299" s="692"/>
      <c r="B299" s="692"/>
      <c r="C299" s="245"/>
      <c r="D299" s="269"/>
      <c r="E299" s="757"/>
      <c r="F299" s="544"/>
      <c r="G299" s="757"/>
      <c r="H299" s="269"/>
      <c r="I299" s="757"/>
      <c r="J299" s="245"/>
      <c r="K299" s="245"/>
      <c r="L299" s="245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</row>
    <row r="300" spans="1:36" s="184" customFormat="1" x14ac:dyDescent="0.25">
      <c r="A300" s="692"/>
      <c r="B300" s="692"/>
      <c r="C300" s="245"/>
      <c r="D300" s="269"/>
      <c r="E300" s="757"/>
      <c r="F300" s="544"/>
      <c r="G300" s="757"/>
      <c r="H300" s="269"/>
      <c r="I300" s="757"/>
      <c r="J300" s="245"/>
      <c r="K300" s="245"/>
      <c r="L300" s="245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</row>
    <row r="301" spans="1:36" s="184" customFormat="1" x14ac:dyDescent="0.25">
      <c r="A301" s="692"/>
      <c r="B301" s="692"/>
      <c r="C301" s="245"/>
      <c r="D301" s="269"/>
      <c r="E301" s="757"/>
      <c r="F301" s="544"/>
      <c r="G301" s="757"/>
      <c r="H301" s="269"/>
      <c r="I301" s="757"/>
      <c r="J301" s="245"/>
      <c r="K301" s="245"/>
      <c r="L301" s="245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</row>
    <row r="302" spans="1:36" s="184" customFormat="1" x14ac:dyDescent="0.25">
      <c r="A302" s="692"/>
      <c r="B302" s="692"/>
      <c r="C302" s="245"/>
      <c r="D302" s="269"/>
      <c r="E302" s="757"/>
      <c r="F302" s="544"/>
      <c r="G302" s="757"/>
      <c r="H302" s="269"/>
      <c r="I302" s="757"/>
      <c r="J302" s="245"/>
      <c r="K302" s="245"/>
      <c r="L302" s="245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1545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55"/>
      <c r="B4" s="856"/>
      <c r="C4" s="856"/>
      <c r="D4" s="856"/>
      <c r="E4" s="856"/>
      <c r="F4" s="856"/>
      <c r="G4" s="8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22483.599999999999</v>
      </c>
      <c r="D13" s="34"/>
      <c r="E13" s="35" t="s">
        <v>33</v>
      </c>
      <c r="F13" s="34"/>
      <c r="G13" s="42">
        <v>22483.599999999999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10181</v>
      </c>
      <c r="D15" s="34"/>
      <c r="E15" s="35" t="s">
        <v>10</v>
      </c>
      <c r="F15" s="34"/>
      <c r="G15" s="42">
        <v>6101.99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46940</v>
      </c>
      <c r="D17" s="34"/>
      <c r="E17" s="35" t="s">
        <v>278</v>
      </c>
      <c r="F17" s="34"/>
      <c r="G17" s="42">
        <v>4470.6400000000003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13"/>
  <sheetViews>
    <sheetView zoomScale="115" zoomScaleNormal="115" workbookViewId="0">
      <pane ySplit="2" topLeftCell="A39" activePane="bottomLeft" state="frozen"/>
      <selection pane="bottomLeft" activeCell="K105" sqref="K10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1513</v>
      </c>
      <c r="D3" s="328"/>
      <c r="E3" s="763"/>
      <c r="F3" s="620">
        <v>1995.27</v>
      </c>
      <c r="G3" s="763">
        <v>3640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1512</v>
      </c>
      <c r="D4" s="269"/>
      <c r="E4" s="757"/>
      <c r="F4" s="544">
        <v>416.75</v>
      </c>
      <c r="G4" s="757">
        <v>683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1517</v>
      </c>
      <c r="D5" s="328"/>
      <c r="E5" s="763"/>
      <c r="F5" s="620">
        <v>384.93</v>
      </c>
      <c r="G5" s="763">
        <v>634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1515</v>
      </c>
      <c r="D6" s="269"/>
      <c r="E6" s="757"/>
      <c r="F6" s="544">
        <v>308.36</v>
      </c>
      <c r="G6" s="757">
        <v>477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1513</v>
      </c>
      <c r="D7" s="269"/>
      <c r="E7" s="757"/>
      <c r="F7" s="544">
        <v>141.06</v>
      </c>
      <c r="G7" s="757">
        <v>181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1513</v>
      </c>
      <c r="D9" s="269"/>
      <c r="E9" s="757"/>
      <c r="F9" s="544">
        <v>726.83</v>
      </c>
      <c r="G9" s="757">
        <v>1250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1513</v>
      </c>
      <c r="D10" s="269"/>
      <c r="E10" s="757"/>
      <c r="F10" s="544">
        <v>414.68</v>
      </c>
      <c r="G10" s="757">
        <v>674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1524</v>
      </c>
      <c r="D11" s="269"/>
      <c r="E11" s="757"/>
      <c r="F11" s="544">
        <v>81.05</v>
      </c>
      <c r="G11" s="757">
        <v>47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1512</v>
      </c>
      <c r="D13" s="269"/>
      <c r="E13" s="757"/>
      <c r="F13" s="544">
        <v>60.69</v>
      </c>
      <c r="G13" s="757">
        <v>21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1512</v>
      </c>
      <c r="D14" s="269"/>
      <c r="E14" s="757"/>
      <c r="F14" s="544">
        <v>915.85</v>
      </c>
      <c r="G14" s="757">
        <v>1611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1512</v>
      </c>
      <c r="D16" s="269"/>
      <c r="E16" s="757"/>
      <c r="F16" s="544">
        <v>487.2</v>
      </c>
      <c r="G16" s="757">
        <v>814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1516</v>
      </c>
      <c r="D17" s="269"/>
      <c r="E17" s="757"/>
      <c r="F17" s="544">
        <v>105.74</v>
      </c>
      <c r="G17" s="757">
        <v>122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1516</v>
      </c>
      <c r="D18" s="269"/>
      <c r="E18" s="757"/>
      <c r="F18" s="544">
        <v>63.58</v>
      </c>
      <c r="G18" s="757">
        <v>27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/>
      <c r="E20" s="841"/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1535</v>
      </c>
      <c r="D21" s="618">
        <v>28.71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1535</v>
      </c>
      <c r="D22" s="618">
        <v>192.01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1535</v>
      </c>
      <c r="D23" s="618">
        <v>877.32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1527</v>
      </c>
      <c r="D24" s="618">
        <v>26.14</v>
      </c>
      <c r="E24" s="754">
        <v>147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1535</v>
      </c>
      <c r="D25" s="618">
        <v>16.89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1525</v>
      </c>
      <c r="D26" s="618">
        <v>123.23</v>
      </c>
      <c r="E26" s="754">
        <v>1226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1525</v>
      </c>
      <c r="D27" s="618">
        <v>4888.6899999999996</v>
      </c>
      <c r="E27" s="754">
        <v>61500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1535</v>
      </c>
      <c r="D28" s="618">
        <v>247.53</v>
      </c>
      <c r="E28" s="754">
        <v>1873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1525</v>
      </c>
      <c r="D29" s="618">
        <v>86.37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1529</v>
      </c>
      <c r="D30" s="618">
        <v>282.86</v>
      </c>
      <c r="E30" s="754">
        <v>560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1535</v>
      </c>
      <c r="D31" s="618">
        <v>484.82</v>
      </c>
      <c r="E31" s="754">
        <v>4640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1529</v>
      </c>
      <c r="D32" s="618">
        <v>834.55</v>
      </c>
      <c r="E32" s="754">
        <v>9958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1535</v>
      </c>
      <c r="D33" s="618">
        <v>1184.79</v>
      </c>
      <c r="E33" s="754">
        <v>12000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1523</v>
      </c>
      <c r="D34" s="618">
        <v>25.79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1535</v>
      </c>
      <c r="D35" s="618">
        <v>13.8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1510</v>
      </c>
      <c r="D36" s="618">
        <v>21.46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858</v>
      </c>
      <c r="B37" s="686">
        <v>5216006454</v>
      </c>
      <c r="C37" s="546" t="s">
        <v>1535</v>
      </c>
      <c r="D37" s="618">
        <v>19.72</v>
      </c>
      <c r="E37" s="754">
        <v>80</v>
      </c>
      <c r="F37" s="548"/>
      <c r="G37" s="754"/>
      <c r="H37" s="618"/>
      <c r="I37" s="754"/>
      <c r="J37" s="546"/>
      <c r="K37" s="546" t="s">
        <v>791</v>
      </c>
      <c r="L37" s="546">
        <v>5216006454</v>
      </c>
    </row>
    <row r="38" spans="1:12" s="619" customFormat="1" ht="21" customHeight="1" x14ac:dyDescent="0.25">
      <c r="A38" s="686" t="s">
        <v>870</v>
      </c>
      <c r="B38" s="686">
        <v>5216006456</v>
      </c>
      <c r="C38" s="546" t="s">
        <v>1530</v>
      </c>
      <c r="D38" s="618">
        <v>261.07</v>
      </c>
      <c r="E38" s="754">
        <v>1800</v>
      </c>
      <c r="F38" s="548"/>
      <c r="G38" s="754"/>
      <c r="H38" s="618"/>
      <c r="I38" s="754"/>
      <c r="J38" s="546"/>
      <c r="K38" s="546" t="s">
        <v>793</v>
      </c>
      <c r="L38" s="546">
        <v>5216006456</v>
      </c>
    </row>
    <row r="39" spans="1:12" s="619" customFormat="1" ht="15.75" x14ac:dyDescent="0.25">
      <c r="A39" s="686" t="s">
        <v>851</v>
      </c>
      <c r="B39" s="686">
        <v>5216006457</v>
      </c>
      <c r="C39" s="546" t="s">
        <v>1530</v>
      </c>
      <c r="D39" s="618">
        <v>40.86</v>
      </c>
      <c r="E39" s="754">
        <v>321</v>
      </c>
      <c r="F39" s="548"/>
      <c r="G39" s="754"/>
      <c r="H39" s="618"/>
      <c r="I39" s="754"/>
      <c r="J39" s="546"/>
      <c r="K39" s="546" t="s">
        <v>794</v>
      </c>
      <c r="L39" s="546">
        <v>5216006457</v>
      </c>
    </row>
    <row r="40" spans="1:12" s="619" customFormat="1" ht="15.75" x14ac:dyDescent="0.25">
      <c r="A40" s="686" t="s">
        <v>829</v>
      </c>
      <c r="B40" s="686">
        <v>5216006458</v>
      </c>
      <c r="C40" s="546" t="s">
        <v>1525</v>
      </c>
      <c r="D40" s="618">
        <v>334.09</v>
      </c>
      <c r="E40" s="754">
        <v>3273</v>
      </c>
      <c r="F40" s="548"/>
      <c r="G40" s="754"/>
      <c r="H40" s="618"/>
      <c r="I40" s="754"/>
      <c r="J40" s="546"/>
      <c r="K40" s="546" t="s">
        <v>795</v>
      </c>
      <c r="L40" s="546">
        <v>5216006458</v>
      </c>
    </row>
    <row r="41" spans="1:12" s="619" customFormat="1" ht="15.75" x14ac:dyDescent="0.25">
      <c r="A41" s="686" t="s">
        <v>850</v>
      </c>
      <c r="B41" s="686">
        <v>5216006459</v>
      </c>
      <c r="C41" s="546" t="s">
        <v>1531</v>
      </c>
      <c r="D41" s="618">
        <v>164.21</v>
      </c>
      <c r="E41" s="754">
        <v>0</v>
      </c>
      <c r="F41" s="548"/>
      <c r="G41" s="754"/>
      <c r="H41" s="618"/>
      <c r="I41" s="754"/>
      <c r="J41" s="546"/>
      <c r="K41" s="546" t="s">
        <v>796</v>
      </c>
      <c r="L41" s="546">
        <v>5216006459</v>
      </c>
    </row>
    <row r="42" spans="1:12" s="619" customFormat="1" ht="15.75" x14ac:dyDescent="0.25">
      <c r="A42" s="686" t="s">
        <v>848</v>
      </c>
      <c r="B42" s="686">
        <v>5216006460</v>
      </c>
      <c r="C42" s="546" t="s">
        <v>1530</v>
      </c>
      <c r="D42" s="618">
        <v>25.86</v>
      </c>
      <c r="E42" s="754">
        <v>150</v>
      </c>
      <c r="F42" s="548"/>
      <c r="G42" s="754"/>
      <c r="H42" s="618"/>
      <c r="I42" s="754"/>
      <c r="J42" s="546"/>
      <c r="K42" s="546" t="s">
        <v>797</v>
      </c>
      <c r="L42" s="546">
        <v>5216006460</v>
      </c>
    </row>
    <row r="43" spans="1:12" s="619" customFormat="1" ht="15.75" x14ac:dyDescent="0.25">
      <c r="A43" s="686"/>
      <c r="B43" s="686"/>
      <c r="C43" s="546" t="s">
        <v>1536</v>
      </c>
      <c r="D43" s="618">
        <v>6.14</v>
      </c>
      <c r="E43" s="754">
        <v>10</v>
      </c>
      <c r="F43" s="548"/>
      <c r="G43" s="754"/>
      <c r="H43" s="618"/>
      <c r="I43" s="754"/>
      <c r="J43" s="546"/>
      <c r="K43" s="546"/>
      <c r="L43" s="546"/>
    </row>
    <row r="44" spans="1:12" s="619" customFormat="1" ht="15.75" x14ac:dyDescent="0.25">
      <c r="A44" s="686" t="s">
        <v>874</v>
      </c>
      <c r="B44" s="686">
        <v>5216006461</v>
      </c>
      <c r="C44" s="546" t="s">
        <v>1523</v>
      </c>
      <c r="D44" s="618">
        <v>203.89</v>
      </c>
      <c r="E44" s="754">
        <v>2088</v>
      </c>
      <c r="F44" s="548"/>
      <c r="G44" s="754"/>
      <c r="H44" s="618"/>
      <c r="I44" s="754"/>
      <c r="J44" s="546"/>
      <c r="K44" s="546" t="s">
        <v>798</v>
      </c>
      <c r="L44" s="546">
        <v>5216006461</v>
      </c>
    </row>
    <row r="45" spans="1:12" s="619" customFormat="1" ht="15.75" x14ac:dyDescent="0.25">
      <c r="A45" s="686" t="s">
        <v>847</v>
      </c>
      <c r="B45" s="686">
        <v>5216007172</v>
      </c>
      <c r="C45" s="546" t="s">
        <v>1528</v>
      </c>
      <c r="D45" s="618">
        <v>18.52</v>
      </c>
      <c r="E45" s="754">
        <v>61</v>
      </c>
      <c r="F45" s="548"/>
      <c r="G45" s="754"/>
      <c r="H45" s="618"/>
      <c r="I45" s="754"/>
      <c r="J45" s="546"/>
      <c r="K45" s="546" t="s">
        <v>799</v>
      </c>
      <c r="L45" s="546">
        <v>5216006462</v>
      </c>
    </row>
    <row r="46" spans="1:12" s="619" customFormat="1" ht="15.75" x14ac:dyDescent="0.25">
      <c r="A46" s="686" t="s">
        <v>836</v>
      </c>
      <c r="B46" s="686">
        <v>5216006464</v>
      </c>
      <c r="C46" s="546" t="s">
        <v>1535</v>
      </c>
      <c r="D46" s="618">
        <v>16.89</v>
      </c>
      <c r="E46" s="754">
        <v>70</v>
      </c>
      <c r="F46" s="548"/>
      <c r="G46" s="754"/>
      <c r="H46" s="618"/>
      <c r="I46" s="754"/>
      <c r="J46" s="546"/>
      <c r="K46" s="546" t="s">
        <v>801</v>
      </c>
      <c r="L46" s="546">
        <v>5216006464</v>
      </c>
    </row>
    <row r="47" spans="1:12" s="619" customFormat="1" ht="15.75" x14ac:dyDescent="0.25">
      <c r="A47" s="686" t="s">
        <v>837</v>
      </c>
      <c r="B47" s="686">
        <v>5216006465</v>
      </c>
      <c r="C47" s="546" t="s">
        <v>1535</v>
      </c>
      <c r="D47" s="618">
        <v>20.21</v>
      </c>
      <c r="E47" s="754">
        <v>80</v>
      </c>
      <c r="F47" s="548"/>
      <c r="G47" s="754"/>
      <c r="H47" s="618"/>
      <c r="I47" s="754"/>
      <c r="J47" s="546"/>
      <c r="K47" s="546" t="s">
        <v>802</v>
      </c>
      <c r="L47" s="546">
        <v>5216006465</v>
      </c>
    </row>
    <row r="48" spans="1:12" s="619" customFormat="1" ht="15.75" x14ac:dyDescent="0.25">
      <c r="A48" s="686" t="s">
        <v>869</v>
      </c>
      <c r="B48" s="686">
        <v>5216006466</v>
      </c>
      <c r="C48" s="546" t="s">
        <v>1525</v>
      </c>
      <c r="D48" s="618">
        <v>0</v>
      </c>
      <c r="E48" s="754">
        <v>0</v>
      </c>
      <c r="F48" s="548"/>
      <c r="G48" s="754"/>
      <c r="H48" s="618"/>
      <c r="I48" s="754"/>
      <c r="J48" s="546"/>
      <c r="K48" s="546" t="s">
        <v>803</v>
      </c>
      <c r="L48" s="546">
        <v>5216006466</v>
      </c>
    </row>
    <row r="49" spans="1:12" s="619" customFormat="1" ht="15.75" x14ac:dyDescent="0.25">
      <c r="A49" s="686" t="s">
        <v>868</v>
      </c>
      <c r="B49" s="686">
        <v>5216006467</v>
      </c>
      <c r="C49" s="546" t="s">
        <v>1530</v>
      </c>
      <c r="D49" s="618">
        <v>321.27999999999997</v>
      </c>
      <c r="E49" s="754">
        <v>2538</v>
      </c>
      <c r="F49" s="548"/>
      <c r="G49" s="754"/>
      <c r="H49" s="618"/>
      <c r="I49" s="754"/>
      <c r="J49" s="546"/>
      <c r="K49" s="546" t="s">
        <v>804</v>
      </c>
      <c r="L49" s="546">
        <v>5216006467</v>
      </c>
    </row>
    <row r="50" spans="1:12" s="619" customFormat="1" ht="17.25" customHeight="1" x14ac:dyDescent="0.25">
      <c r="A50" s="686" t="s">
        <v>832</v>
      </c>
      <c r="B50" s="686">
        <v>5216006468</v>
      </c>
      <c r="C50" s="546" t="s">
        <v>1535</v>
      </c>
      <c r="D50" s="618">
        <v>560.77</v>
      </c>
      <c r="E50" s="754">
        <v>3000</v>
      </c>
      <c r="F50" s="548"/>
      <c r="G50" s="754"/>
      <c r="H50" s="618"/>
      <c r="I50" s="754"/>
      <c r="J50" s="546"/>
      <c r="K50" s="546" t="s">
        <v>805</v>
      </c>
      <c r="L50" s="546">
        <v>5216006468</v>
      </c>
    </row>
    <row r="51" spans="1:12" s="619" customFormat="1" ht="15.75" x14ac:dyDescent="0.25">
      <c r="A51" s="686" t="s">
        <v>833</v>
      </c>
      <c r="B51" s="686">
        <v>5216006469</v>
      </c>
      <c r="C51" s="546" t="s">
        <v>1535</v>
      </c>
      <c r="D51" s="618">
        <v>349.78</v>
      </c>
      <c r="E51" s="754">
        <v>1400</v>
      </c>
      <c r="F51" s="548"/>
      <c r="G51" s="754"/>
      <c r="H51" s="618"/>
      <c r="I51" s="754"/>
      <c r="J51" s="546"/>
      <c r="K51" s="546" t="s">
        <v>806</v>
      </c>
      <c r="L51" s="546">
        <v>5216006469</v>
      </c>
    </row>
    <row r="52" spans="1:12" s="619" customFormat="1" ht="15.75" x14ac:dyDescent="0.25">
      <c r="A52" s="686" t="s">
        <v>976</v>
      </c>
      <c r="B52" s="686">
        <v>5216006470</v>
      </c>
      <c r="C52" s="546" t="s">
        <v>1535</v>
      </c>
      <c r="D52" s="618">
        <v>1109.07</v>
      </c>
      <c r="E52" s="754">
        <v>10680</v>
      </c>
      <c r="F52" s="548"/>
      <c r="G52" s="754"/>
      <c r="H52" s="618"/>
      <c r="I52" s="754"/>
      <c r="J52" s="546"/>
      <c r="K52" s="546"/>
      <c r="L52" s="546"/>
    </row>
    <row r="53" spans="1:12" s="619" customFormat="1" ht="15.75" x14ac:dyDescent="0.25">
      <c r="A53" s="686" t="s">
        <v>852</v>
      </c>
      <c r="B53" s="686">
        <v>5216006471</v>
      </c>
      <c r="C53" s="546" t="s">
        <v>1530</v>
      </c>
      <c r="D53" s="618">
        <v>25.86</v>
      </c>
      <c r="E53" s="754">
        <v>150</v>
      </c>
      <c r="F53" s="548"/>
      <c r="G53" s="754"/>
      <c r="H53" s="618"/>
      <c r="I53" s="754"/>
      <c r="J53" s="546"/>
      <c r="K53" s="546" t="s">
        <v>808</v>
      </c>
      <c r="L53" s="546">
        <v>5216006471</v>
      </c>
    </row>
    <row r="54" spans="1:12" s="619" customFormat="1" ht="15.75" x14ac:dyDescent="0.25">
      <c r="A54" s="686"/>
      <c r="B54" s="686"/>
      <c r="C54" s="546" t="s">
        <v>1536</v>
      </c>
      <c r="D54" s="618">
        <v>6.14</v>
      </c>
      <c r="E54" s="754">
        <v>10</v>
      </c>
      <c r="F54" s="548"/>
      <c r="G54" s="754"/>
      <c r="H54" s="618"/>
      <c r="I54" s="754"/>
      <c r="J54" s="546"/>
      <c r="K54" s="546"/>
      <c r="L54" s="546"/>
    </row>
    <row r="55" spans="1:12" s="619" customFormat="1" ht="15.75" x14ac:dyDescent="0.25">
      <c r="A55" s="686" t="s">
        <v>867</v>
      </c>
      <c r="B55" s="686">
        <v>5216006472</v>
      </c>
      <c r="C55" s="546" t="s">
        <v>1531</v>
      </c>
      <c r="D55" s="618">
        <v>30.58</v>
      </c>
      <c r="E55" s="754">
        <v>160</v>
      </c>
      <c r="F55" s="548"/>
      <c r="G55" s="754"/>
      <c r="H55" s="618"/>
      <c r="I55" s="754"/>
      <c r="J55" s="546"/>
      <c r="K55" s="546" t="s">
        <v>809</v>
      </c>
      <c r="L55" s="546">
        <v>5216006472</v>
      </c>
    </row>
    <row r="56" spans="1:12" s="619" customFormat="1" ht="15.75" x14ac:dyDescent="0.25">
      <c r="A56" s="686" t="s">
        <v>840</v>
      </c>
      <c r="B56" s="686">
        <v>5216006473</v>
      </c>
      <c r="C56" s="546" t="s">
        <v>1523</v>
      </c>
      <c r="D56" s="618">
        <v>97.89</v>
      </c>
      <c r="E56" s="754">
        <v>839</v>
      </c>
      <c r="F56" s="548"/>
      <c r="G56" s="754"/>
      <c r="H56" s="618"/>
      <c r="I56" s="754"/>
      <c r="J56" s="546"/>
      <c r="K56" s="546" t="s">
        <v>810</v>
      </c>
      <c r="L56" s="546">
        <v>5216006473</v>
      </c>
    </row>
    <row r="57" spans="1:12" s="619" customFormat="1" ht="15.75" x14ac:dyDescent="0.25">
      <c r="A57" s="686" t="s">
        <v>839</v>
      </c>
      <c r="B57" s="686">
        <v>5216006474</v>
      </c>
      <c r="C57" s="546" t="s">
        <v>1530</v>
      </c>
      <c r="D57" s="618">
        <v>108.36</v>
      </c>
      <c r="E57" s="754">
        <v>1102</v>
      </c>
      <c r="F57" s="548"/>
      <c r="G57" s="754"/>
      <c r="H57" s="618"/>
      <c r="I57" s="754"/>
      <c r="J57" s="546"/>
      <c r="K57" s="546" t="s">
        <v>811</v>
      </c>
      <c r="L57" s="546">
        <v>5216006474</v>
      </c>
    </row>
    <row r="58" spans="1:12" s="619" customFormat="1" ht="15.75" x14ac:dyDescent="0.25">
      <c r="A58" s="686" t="s">
        <v>841</v>
      </c>
      <c r="B58" s="686">
        <v>5216006475</v>
      </c>
      <c r="C58" s="546" t="s">
        <v>1525</v>
      </c>
      <c r="D58" s="618">
        <v>51.85</v>
      </c>
      <c r="E58" s="754">
        <v>390</v>
      </c>
      <c r="F58" s="548"/>
      <c r="G58" s="754"/>
      <c r="H58" s="618"/>
      <c r="I58" s="754"/>
      <c r="J58" s="546"/>
      <c r="K58" s="546" t="s">
        <v>812</v>
      </c>
      <c r="L58" s="546">
        <v>5216006475</v>
      </c>
    </row>
    <row r="59" spans="1:12" s="619" customFormat="1" ht="15.75" x14ac:dyDescent="0.25">
      <c r="A59" s="686"/>
      <c r="B59" s="686"/>
      <c r="C59" s="546" t="s">
        <v>1535</v>
      </c>
      <c r="D59" s="618">
        <v>24.81</v>
      </c>
      <c r="E59" s="754">
        <v>150</v>
      </c>
      <c r="F59" s="548"/>
      <c r="G59" s="754"/>
      <c r="H59" s="618"/>
      <c r="I59" s="754"/>
      <c r="J59" s="546"/>
      <c r="K59" s="546"/>
      <c r="L59" s="546"/>
    </row>
    <row r="60" spans="1:12" s="619" customFormat="1" ht="15.75" x14ac:dyDescent="0.25">
      <c r="A60" s="686" t="s">
        <v>845</v>
      </c>
      <c r="B60" s="686">
        <v>5216006477</v>
      </c>
      <c r="C60" s="546" t="s">
        <v>1531</v>
      </c>
      <c r="D60" s="618">
        <v>18.22</v>
      </c>
      <c r="E60" s="754">
        <v>59</v>
      </c>
      <c r="F60" s="548"/>
      <c r="G60" s="754"/>
      <c r="H60" s="618"/>
      <c r="I60" s="754"/>
      <c r="J60" s="546"/>
      <c r="K60" s="546" t="s">
        <v>814</v>
      </c>
      <c r="L60" s="546">
        <v>5216006477</v>
      </c>
    </row>
    <row r="61" spans="1:12" s="619" customFormat="1" ht="15.75" x14ac:dyDescent="0.25">
      <c r="A61" s="686" t="s">
        <v>866</v>
      </c>
      <c r="B61" s="686">
        <v>5216006478</v>
      </c>
      <c r="C61" s="546" t="s">
        <v>1532</v>
      </c>
      <c r="D61" s="618">
        <v>165.29</v>
      </c>
      <c r="E61" s="754">
        <v>1756</v>
      </c>
      <c r="F61" s="548"/>
      <c r="G61" s="754"/>
      <c r="H61" s="618"/>
      <c r="I61" s="754"/>
      <c r="J61" s="546"/>
      <c r="K61" s="546" t="s">
        <v>815</v>
      </c>
      <c r="L61" s="546">
        <v>5216006478</v>
      </c>
    </row>
    <row r="62" spans="1:12" s="619" customFormat="1" ht="15.75" x14ac:dyDescent="0.25">
      <c r="A62" s="686" t="s">
        <v>844</v>
      </c>
      <c r="B62" s="686">
        <v>5216006479</v>
      </c>
      <c r="C62" s="546" t="s">
        <v>1533</v>
      </c>
      <c r="D62" s="618">
        <v>125.39</v>
      </c>
      <c r="E62" s="754">
        <v>770</v>
      </c>
      <c r="F62" s="548"/>
      <c r="G62" s="754"/>
      <c r="H62" s="618"/>
      <c r="I62" s="754"/>
      <c r="J62" s="546"/>
      <c r="K62" s="546" t="s">
        <v>816</v>
      </c>
      <c r="L62" s="546">
        <v>5216006479</v>
      </c>
    </row>
    <row r="63" spans="1:12" s="619" customFormat="1" ht="15.75" x14ac:dyDescent="0.25">
      <c r="A63" s="686" t="s">
        <v>877</v>
      </c>
      <c r="B63" s="686">
        <v>5216006481</v>
      </c>
      <c r="C63" s="546" t="s">
        <v>1530</v>
      </c>
      <c r="D63" s="618">
        <v>810.93</v>
      </c>
      <c r="E63" s="754">
        <v>8520</v>
      </c>
      <c r="F63" s="548"/>
      <c r="G63" s="754"/>
      <c r="H63" s="618"/>
      <c r="I63" s="754"/>
      <c r="J63" s="546"/>
      <c r="K63" s="546" t="s">
        <v>818</v>
      </c>
      <c r="L63" s="546">
        <v>5216006481</v>
      </c>
    </row>
    <row r="64" spans="1:12" s="619" customFormat="1" ht="15.75" x14ac:dyDescent="0.25">
      <c r="A64" s="686" t="s">
        <v>865</v>
      </c>
      <c r="B64" s="686">
        <v>5216006482</v>
      </c>
      <c r="C64" s="546" t="s">
        <v>1531</v>
      </c>
      <c r="D64" s="618">
        <v>170.6</v>
      </c>
      <c r="E64" s="754">
        <v>1276</v>
      </c>
      <c r="F64" s="548"/>
      <c r="G64" s="754"/>
      <c r="H64" s="618"/>
      <c r="I64" s="754"/>
      <c r="J64" s="546"/>
      <c r="K64" s="546" t="s">
        <v>819</v>
      </c>
      <c r="L64" s="546">
        <v>5216006482</v>
      </c>
    </row>
    <row r="65" spans="1:36" s="619" customFormat="1" ht="15.75" x14ac:dyDescent="0.25">
      <c r="A65" s="686" t="s">
        <v>860</v>
      </c>
      <c r="B65" s="686">
        <v>5216006483</v>
      </c>
      <c r="C65" s="546" t="s">
        <v>1523</v>
      </c>
      <c r="D65" s="618">
        <v>34.69</v>
      </c>
      <c r="E65" s="754">
        <v>236</v>
      </c>
      <c r="F65" s="548"/>
      <c r="G65" s="754"/>
      <c r="H65" s="618"/>
      <c r="I65" s="754"/>
      <c r="J65" s="546"/>
      <c r="K65" s="546" t="s">
        <v>820</v>
      </c>
      <c r="L65" s="546">
        <v>5216006483</v>
      </c>
    </row>
    <row r="66" spans="1:36" s="619" customFormat="1" ht="15.75" x14ac:dyDescent="0.25">
      <c r="A66" s="686" t="s">
        <v>864</v>
      </c>
      <c r="B66" s="686">
        <v>5216006484</v>
      </c>
      <c r="C66" s="546" t="s">
        <v>1530</v>
      </c>
      <c r="D66" s="618">
        <v>13.12</v>
      </c>
      <c r="E66" s="754">
        <v>0</v>
      </c>
      <c r="F66" s="548"/>
      <c r="G66" s="754"/>
      <c r="H66" s="618"/>
      <c r="I66" s="754"/>
      <c r="J66" s="546"/>
      <c r="K66" s="546" t="s">
        <v>821</v>
      </c>
      <c r="L66" s="546">
        <v>5216006484</v>
      </c>
    </row>
    <row r="67" spans="1:36" s="619" customFormat="1" ht="15.75" x14ac:dyDescent="0.25">
      <c r="A67" s="686" t="s">
        <v>861</v>
      </c>
      <c r="B67" s="686">
        <v>5216006485</v>
      </c>
      <c r="C67" s="546" t="s">
        <v>1535</v>
      </c>
      <c r="D67" s="618">
        <v>325.25</v>
      </c>
      <c r="E67" s="754">
        <v>2611</v>
      </c>
      <c r="F67" s="548"/>
      <c r="G67" s="754"/>
      <c r="H67" s="618"/>
      <c r="I67" s="754"/>
      <c r="J67" s="546"/>
      <c r="K67" s="546" t="s">
        <v>822</v>
      </c>
      <c r="L67" s="546">
        <v>5216006485</v>
      </c>
    </row>
    <row r="68" spans="1:36" s="619" customFormat="1" ht="15.75" x14ac:dyDescent="0.25">
      <c r="A68" s="686" t="s">
        <v>935</v>
      </c>
      <c r="B68" s="686">
        <v>5216006486</v>
      </c>
      <c r="C68" s="546" t="s">
        <v>1535</v>
      </c>
      <c r="D68" s="618">
        <v>27.53</v>
      </c>
      <c r="E68" s="754">
        <v>140</v>
      </c>
      <c r="F68" s="548"/>
      <c r="G68" s="754"/>
      <c r="H68" s="618"/>
      <c r="I68" s="754"/>
      <c r="J68" s="546"/>
      <c r="K68" s="546" t="s">
        <v>823</v>
      </c>
      <c r="L68" s="546">
        <v>5216006486</v>
      </c>
    </row>
    <row r="69" spans="1:36" s="619" customFormat="1" ht="15.75" x14ac:dyDescent="0.25">
      <c r="A69" s="686" t="s">
        <v>910</v>
      </c>
      <c r="B69" s="686">
        <v>5216007171</v>
      </c>
      <c r="C69" s="546" t="s">
        <v>1528</v>
      </c>
      <c r="D69" s="618">
        <v>13.12</v>
      </c>
      <c r="E69" s="754">
        <v>0</v>
      </c>
      <c r="F69" s="548"/>
      <c r="G69" s="754"/>
      <c r="H69" s="618"/>
      <c r="I69" s="754"/>
      <c r="J69" s="546"/>
      <c r="K69" s="546"/>
      <c r="L69" s="546"/>
    </row>
    <row r="70" spans="1:36" s="619" customFormat="1" ht="15.75" x14ac:dyDescent="0.25">
      <c r="A70" s="686" t="s">
        <v>862</v>
      </c>
      <c r="B70" s="686">
        <v>5216006487</v>
      </c>
      <c r="C70" s="546" t="s">
        <v>1535</v>
      </c>
      <c r="D70" s="618">
        <v>1541.03</v>
      </c>
      <c r="E70" s="754">
        <v>11550</v>
      </c>
      <c r="F70" s="548"/>
      <c r="G70" s="754"/>
      <c r="H70" s="618"/>
      <c r="I70" s="754"/>
      <c r="J70" s="546"/>
      <c r="K70" s="546" t="s">
        <v>824</v>
      </c>
      <c r="L70" s="546">
        <v>5216006487</v>
      </c>
    </row>
    <row r="71" spans="1:36" s="619" customFormat="1" ht="15.75" x14ac:dyDescent="0.25">
      <c r="A71" s="686" t="s">
        <v>843</v>
      </c>
      <c r="B71" s="686">
        <v>5216006488</v>
      </c>
      <c r="C71" s="767" t="s">
        <v>1525</v>
      </c>
      <c r="D71" s="618">
        <v>165.88</v>
      </c>
      <c r="E71" s="754">
        <v>1705</v>
      </c>
      <c r="F71" s="548"/>
      <c r="G71" s="754"/>
      <c r="H71" s="618"/>
      <c r="I71" s="754"/>
      <c r="J71" s="546"/>
      <c r="K71" s="546" t="s">
        <v>825</v>
      </c>
      <c r="L71" s="546">
        <v>5216006488</v>
      </c>
    </row>
    <row r="72" spans="1:36" s="619" customFormat="1" ht="15.75" x14ac:dyDescent="0.25">
      <c r="A72" s="686" t="s">
        <v>842</v>
      </c>
      <c r="B72" s="686">
        <v>5216006489</v>
      </c>
      <c r="C72" s="546" t="s">
        <v>1525</v>
      </c>
      <c r="D72" s="618">
        <v>126.55</v>
      </c>
      <c r="E72" s="754">
        <v>1266</v>
      </c>
      <c r="F72" s="548"/>
      <c r="G72" s="754"/>
      <c r="H72" s="618"/>
      <c r="I72" s="754"/>
      <c r="J72" s="546"/>
      <c r="K72" s="546" t="s">
        <v>826</v>
      </c>
      <c r="L72" s="546">
        <v>5216006489</v>
      </c>
    </row>
    <row r="73" spans="1:36" s="199" customFormat="1" ht="26.25" x14ac:dyDescent="0.25">
      <c r="A73" s="698" t="s">
        <v>878</v>
      </c>
      <c r="B73" s="687"/>
      <c r="C73" s="249"/>
      <c r="D73" s="250"/>
      <c r="E73" s="750"/>
      <c r="F73" s="543"/>
      <c r="G73" s="750"/>
      <c r="H73" s="250"/>
      <c r="I73" s="750"/>
      <c r="J73" s="249"/>
      <c r="K73" s="249"/>
      <c r="L73" s="24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</row>
    <row r="74" spans="1:36" s="184" customFormat="1" ht="26.25" x14ac:dyDescent="0.25">
      <c r="A74" s="695" t="s">
        <v>51</v>
      </c>
      <c r="B74" s="681" t="s">
        <v>208</v>
      </c>
      <c r="C74" s="289" t="s">
        <v>1521</v>
      </c>
      <c r="D74" s="269">
        <v>170</v>
      </c>
      <c r="E74" s="757">
        <v>1668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ht="26.25" x14ac:dyDescent="0.25">
      <c r="A75" s="695" t="s">
        <v>52</v>
      </c>
      <c r="B75" s="681" t="s">
        <v>209</v>
      </c>
      <c r="C75" s="289" t="s">
        <v>1521</v>
      </c>
      <c r="D75" s="269">
        <v>157</v>
      </c>
      <c r="E75" s="757">
        <v>1257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ht="26.25" x14ac:dyDescent="0.25">
      <c r="A76" s="695" t="s">
        <v>54</v>
      </c>
      <c r="B76" s="681">
        <v>7039100</v>
      </c>
      <c r="C76" s="289" t="s">
        <v>1522</v>
      </c>
      <c r="D76" s="269">
        <v>102</v>
      </c>
      <c r="E76" s="757">
        <v>587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55</v>
      </c>
      <c r="B77" s="681" t="s">
        <v>212</v>
      </c>
      <c r="C77" s="289" t="s">
        <v>1522</v>
      </c>
      <c r="D77" s="269">
        <v>44</v>
      </c>
      <c r="E77" s="757">
        <v>117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56</v>
      </c>
      <c r="B78" s="681" t="s">
        <v>213</v>
      </c>
      <c r="C78" s="289" t="s">
        <v>1522</v>
      </c>
      <c r="D78" s="269">
        <v>41</v>
      </c>
      <c r="E78" s="757">
        <v>84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57</v>
      </c>
      <c r="B79" s="681" t="s">
        <v>214</v>
      </c>
      <c r="C79" s="289" t="s">
        <v>1522</v>
      </c>
      <c r="D79" s="269">
        <v>280</v>
      </c>
      <c r="E79" s="757">
        <v>2779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58</v>
      </c>
      <c r="B80" s="681" t="s">
        <v>215</v>
      </c>
      <c r="C80" s="289" t="s">
        <v>1522</v>
      </c>
      <c r="D80" s="269">
        <v>244</v>
      </c>
      <c r="E80" s="757">
        <v>2677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770</v>
      </c>
      <c r="B81" s="681" t="s">
        <v>216</v>
      </c>
      <c r="C81" s="289" t="s">
        <v>1522</v>
      </c>
      <c r="D81" s="269">
        <v>58</v>
      </c>
      <c r="E81" s="757">
        <v>297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60</v>
      </c>
      <c r="B82" s="681" t="s">
        <v>217</v>
      </c>
      <c r="C82" s="289" t="s">
        <v>1522</v>
      </c>
      <c r="D82" s="269">
        <v>71</v>
      </c>
      <c r="E82" s="757">
        <v>201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61</v>
      </c>
      <c r="B83" s="681" t="s">
        <v>218</v>
      </c>
      <c r="C83" s="289" t="s">
        <v>1522</v>
      </c>
      <c r="D83" s="269">
        <v>35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62</v>
      </c>
      <c r="B84" s="681" t="s">
        <v>219</v>
      </c>
      <c r="C84" s="289" t="s">
        <v>1522</v>
      </c>
      <c r="D84" s="269">
        <v>42</v>
      </c>
      <c r="E84" s="757">
        <v>87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771</v>
      </c>
      <c r="B85" s="681">
        <v>1402294701</v>
      </c>
      <c r="C85" s="289" t="s">
        <v>1522</v>
      </c>
      <c r="D85" s="269">
        <v>56.19</v>
      </c>
      <c r="E85" s="757">
        <v>27</v>
      </c>
      <c r="F85" s="544"/>
      <c r="G85" s="757"/>
      <c r="H85" s="269"/>
      <c r="I85" s="757"/>
      <c r="J85" s="245"/>
      <c r="K85" s="245"/>
      <c r="L85" s="245"/>
    </row>
    <row r="86" spans="1:12" s="331" customFormat="1" x14ac:dyDescent="0.25">
      <c r="A86" s="764" t="s">
        <v>621</v>
      </c>
      <c r="B86" s="762" t="s">
        <v>201</v>
      </c>
      <c r="C86" s="327" t="s">
        <v>1522</v>
      </c>
      <c r="D86" s="328">
        <v>57</v>
      </c>
      <c r="E86" s="763">
        <v>119</v>
      </c>
      <c r="F86" s="620"/>
      <c r="G86" s="763"/>
      <c r="H86" s="328"/>
      <c r="I86" s="763"/>
      <c r="J86" s="327" t="s">
        <v>33</v>
      </c>
      <c r="K86" s="327"/>
      <c r="L86" s="327"/>
    </row>
    <row r="87" spans="1:12" s="184" customFormat="1" x14ac:dyDescent="0.25">
      <c r="A87" s="695" t="s">
        <v>768</v>
      </c>
      <c r="B87" s="681" t="s">
        <v>202</v>
      </c>
      <c r="C87" s="289" t="s">
        <v>1522</v>
      </c>
      <c r="D87" s="269">
        <v>1364</v>
      </c>
      <c r="E87" s="757">
        <v>14880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96</v>
      </c>
      <c r="B88" s="681">
        <v>7815400</v>
      </c>
      <c r="C88" s="245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97</v>
      </c>
      <c r="B89" s="681" t="s">
        <v>204</v>
      </c>
      <c r="C89" s="245" t="s">
        <v>1522</v>
      </c>
      <c r="D89" s="269">
        <v>92</v>
      </c>
      <c r="E89" s="757">
        <v>1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98</v>
      </c>
      <c r="B90" s="681" t="s">
        <v>205</v>
      </c>
      <c r="C90" s="245" t="s">
        <v>1522</v>
      </c>
      <c r="D90" s="269">
        <v>34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769</v>
      </c>
      <c r="B91" s="681" t="s">
        <v>206</v>
      </c>
      <c r="C91" s="245" t="s">
        <v>1522</v>
      </c>
      <c r="D91" s="269">
        <v>39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100</v>
      </c>
      <c r="B92" s="768">
        <v>1323346600</v>
      </c>
      <c r="C92" s="245" t="s">
        <v>1522</v>
      </c>
      <c r="D92" s="269">
        <v>354</v>
      </c>
      <c r="E92" s="757">
        <v>2700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101</v>
      </c>
      <c r="B93" s="768">
        <v>1322699400</v>
      </c>
      <c r="C93" s="289" t="s">
        <v>1522</v>
      </c>
      <c r="D93" s="269">
        <v>397</v>
      </c>
      <c r="E93" s="757">
        <v>3840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677" customFormat="1" x14ac:dyDescent="0.25">
      <c r="A94" s="761" t="s">
        <v>772</v>
      </c>
      <c r="B94" s="769" t="s">
        <v>200</v>
      </c>
      <c r="C94" s="770" t="s">
        <v>1519</v>
      </c>
      <c r="D94" s="674">
        <v>252</v>
      </c>
      <c r="E94" s="771">
        <v>34.659999999999997</v>
      </c>
      <c r="F94" s="676"/>
      <c r="G94" s="771"/>
      <c r="H94" s="674"/>
      <c r="I94" s="771"/>
      <c r="J94" s="673" t="s">
        <v>33</v>
      </c>
      <c r="K94" s="673"/>
      <c r="L94" s="673"/>
    </row>
    <row r="95" spans="1:12" s="184" customFormat="1" x14ac:dyDescent="0.25">
      <c r="A95" s="695" t="s">
        <v>110</v>
      </c>
      <c r="B95" s="681" t="s">
        <v>207</v>
      </c>
      <c r="C95" s="245" t="s">
        <v>1520</v>
      </c>
      <c r="D95" s="269">
        <v>149</v>
      </c>
      <c r="E95" s="757">
        <v>681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111</v>
      </c>
      <c r="B96" s="681" t="s">
        <v>222</v>
      </c>
      <c r="C96" s="245" t="s">
        <v>1520</v>
      </c>
      <c r="D96" s="269">
        <v>54</v>
      </c>
      <c r="E96" s="757">
        <v>0</v>
      </c>
      <c r="F96" s="544"/>
      <c r="G96" s="757"/>
      <c r="H96" s="269"/>
      <c r="I96" s="757"/>
      <c r="J96" s="245" t="s">
        <v>33</v>
      </c>
      <c r="K96" s="245"/>
      <c r="L96" s="245"/>
    </row>
    <row r="97" spans="1:12" s="184" customFormat="1" ht="15.75" customHeight="1" x14ac:dyDescent="0.25">
      <c r="A97" s="695" t="s">
        <v>117</v>
      </c>
      <c r="B97" s="681" t="s">
        <v>220</v>
      </c>
      <c r="C97" s="245" t="s">
        <v>1522</v>
      </c>
      <c r="D97" s="269">
        <v>75</v>
      </c>
      <c r="E97" s="757">
        <v>294</v>
      </c>
      <c r="F97" s="544"/>
      <c r="G97" s="757"/>
      <c r="H97" s="269"/>
      <c r="I97" s="757"/>
      <c r="J97" s="245" t="s">
        <v>33</v>
      </c>
      <c r="K97" s="245"/>
      <c r="L97" s="245"/>
    </row>
    <row r="98" spans="1:12" s="184" customFormat="1" x14ac:dyDescent="0.25">
      <c r="A98" s="695" t="s">
        <v>118</v>
      </c>
      <c r="B98" s="681" t="s">
        <v>221</v>
      </c>
      <c r="C98" s="289" t="s">
        <v>1522</v>
      </c>
      <c r="D98" s="269">
        <v>99</v>
      </c>
      <c r="E98" s="757">
        <v>792</v>
      </c>
      <c r="F98" s="544"/>
      <c r="G98" s="757"/>
      <c r="H98" s="269"/>
      <c r="I98" s="757"/>
      <c r="J98" s="245" t="s">
        <v>33</v>
      </c>
      <c r="K98" s="245"/>
      <c r="L98" s="245"/>
    </row>
    <row r="99" spans="1:12" s="184" customFormat="1" x14ac:dyDescent="0.25">
      <c r="A99" s="695" t="s">
        <v>701</v>
      </c>
      <c r="B99" s="681">
        <v>1323115001</v>
      </c>
      <c r="C99" s="289" t="s">
        <v>1522</v>
      </c>
      <c r="D99" s="269">
        <v>1483</v>
      </c>
      <c r="E99" s="757">
        <v>17400</v>
      </c>
      <c r="F99" s="544"/>
      <c r="G99" s="757"/>
      <c r="H99" s="269"/>
      <c r="I99" s="757"/>
      <c r="J99" s="245"/>
      <c r="K99" s="245"/>
      <c r="L99" s="245"/>
    </row>
    <row r="100" spans="1:12" s="184" customFormat="1" x14ac:dyDescent="0.25">
      <c r="A100" s="695" t="s">
        <v>683</v>
      </c>
      <c r="B100" s="681">
        <v>1322673502</v>
      </c>
      <c r="C100" s="289" t="s">
        <v>1522</v>
      </c>
      <c r="D100" s="269">
        <v>64</v>
      </c>
      <c r="E100" s="757">
        <v>119</v>
      </c>
      <c r="F100" s="544"/>
      <c r="G100" s="757"/>
      <c r="H100" s="269"/>
      <c r="I100" s="757"/>
      <c r="J100" s="245"/>
      <c r="K100" s="245"/>
      <c r="L100" s="245"/>
    </row>
    <row r="101" spans="1:12" s="584" customFormat="1" ht="29.25" customHeight="1" x14ac:dyDescent="0.3">
      <c r="A101" s="862" t="s">
        <v>1548</v>
      </c>
      <c r="B101" s="858" t="s">
        <v>1549</v>
      </c>
      <c r="C101" s="858"/>
      <c r="D101" s="859"/>
      <c r="E101" s="861"/>
      <c r="F101" s="860"/>
      <c r="G101" s="861"/>
      <c r="H101" s="859"/>
      <c r="I101" s="861"/>
      <c r="J101" s="858"/>
      <c r="K101" s="858"/>
      <c r="L101" s="858"/>
    </row>
    <row r="102" spans="1:12" s="619" customFormat="1" ht="14.25" customHeight="1" x14ac:dyDescent="0.25">
      <c r="A102" s="546" t="s">
        <v>870</v>
      </c>
      <c r="B102" s="546" t="s">
        <v>1550</v>
      </c>
      <c r="C102" s="546" t="s">
        <v>1551</v>
      </c>
      <c r="D102" s="618">
        <v>236.89</v>
      </c>
      <c r="E102" s="547">
        <v>2451</v>
      </c>
      <c r="F102" s="548"/>
      <c r="G102" s="547"/>
      <c r="H102" s="618"/>
      <c r="I102" s="547"/>
      <c r="J102" s="546"/>
      <c r="K102" s="546" t="s">
        <v>1554</v>
      </c>
      <c r="L102" s="546"/>
    </row>
    <row r="103" spans="1:12" s="619" customFormat="1" ht="14.25" customHeight="1" x14ac:dyDescent="0.25">
      <c r="A103" s="546" t="s">
        <v>864</v>
      </c>
      <c r="B103" s="546" t="s">
        <v>1557</v>
      </c>
      <c r="C103" s="767">
        <v>43841</v>
      </c>
      <c r="D103" s="618">
        <v>8.1300000000000008</v>
      </c>
      <c r="E103" s="547">
        <v>0</v>
      </c>
      <c r="F103" s="548"/>
      <c r="G103" s="547"/>
      <c r="H103" s="618"/>
      <c r="I103" s="547"/>
      <c r="J103" s="546"/>
      <c r="K103" s="546" t="s">
        <v>821</v>
      </c>
      <c r="L103" s="546"/>
    </row>
    <row r="104" spans="1:12" s="619" customFormat="1" ht="14.25" customHeight="1" x14ac:dyDescent="0.25">
      <c r="A104" s="546" t="s">
        <v>1552</v>
      </c>
      <c r="B104" s="546" t="s">
        <v>1553</v>
      </c>
      <c r="C104" s="546" t="s">
        <v>1551</v>
      </c>
      <c r="D104" s="618">
        <v>31</v>
      </c>
      <c r="E104" s="547">
        <v>337</v>
      </c>
      <c r="F104" s="548"/>
      <c r="G104" s="547"/>
      <c r="H104" s="618"/>
      <c r="I104" s="547"/>
      <c r="J104" s="546"/>
      <c r="K104" s="546" t="s">
        <v>794</v>
      </c>
      <c r="L104" s="546"/>
    </row>
    <row r="105" spans="1:12" s="619" customFormat="1" ht="14.25" customHeight="1" x14ac:dyDescent="0.25">
      <c r="A105" s="546" t="s">
        <v>852</v>
      </c>
      <c r="B105" s="546" t="s">
        <v>1558</v>
      </c>
      <c r="C105" s="546" t="s">
        <v>1551</v>
      </c>
      <c r="D105" s="618">
        <v>36.950000000000003</v>
      </c>
      <c r="E105" s="547">
        <v>150</v>
      </c>
      <c r="F105" s="548"/>
      <c r="G105" s="547"/>
      <c r="H105" s="618"/>
      <c r="I105" s="547"/>
      <c r="J105" s="546"/>
      <c r="K105" s="546" t="s">
        <v>808</v>
      </c>
      <c r="L105" s="546"/>
    </row>
    <row r="106" spans="1:12" s="619" customFormat="1" ht="14.25" customHeight="1" x14ac:dyDescent="0.25">
      <c r="A106" s="546" t="s">
        <v>1555</v>
      </c>
      <c r="B106" s="546" t="s">
        <v>1556</v>
      </c>
      <c r="C106" s="546" t="s">
        <v>1551</v>
      </c>
      <c r="D106" s="618">
        <v>84.79</v>
      </c>
      <c r="E106" s="547">
        <v>1105</v>
      </c>
      <c r="F106" s="548"/>
      <c r="G106" s="547"/>
      <c r="H106" s="618"/>
      <c r="I106" s="547"/>
      <c r="J106" s="546"/>
      <c r="K106" s="546" t="s">
        <v>811</v>
      </c>
      <c r="L106" s="546"/>
    </row>
    <row r="107" spans="1:12" s="619" customFormat="1" ht="14.25" customHeight="1" x14ac:dyDescent="0.25">
      <c r="A107" s="546" t="s">
        <v>1561</v>
      </c>
      <c r="B107" s="546" t="s">
        <v>1559</v>
      </c>
      <c r="C107" s="546" t="s">
        <v>1551</v>
      </c>
      <c r="D107" s="618">
        <v>368.64</v>
      </c>
      <c r="E107" s="547">
        <v>4560</v>
      </c>
      <c r="F107" s="548"/>
      <c r="G107" s="547"/>
      <c r="H107" s="618"/>
      <c r="I107" s="547"/>
      <c r="J107" s="546"/>
      <c r="K107" s="546" t="s">
        <v>1560</v>
      </c>
      <c r="L107" s="546"/>
    </row>
    <row r="108" spans="1:12" s="619" customFormat="1" ht="14.25" customHeight="1" x14ac:dyDescent="0.25">
      <c r="A108" s="546" t="s">
        <v>858</v>
      </c>
      <c r="B108" s="546" t="s">
        <v>1562</v>
      </c>
      <c r="C108" s="546" t="s">
        <v>1551</v>
      </c>
      <c r="D108" s="618">
        <v>13.61</v>
      </c>
      <c r="E108" s="547">
        <v>80</v>
      </c>
      <c r="F108" s="548"/>
      <c r="G108" s="547"/>
      <c r="H108" s="618"/>
      <c r="I108" s="547"/>
      <c r="J108" s="546"/>
      <c r="K108" s="546" t="s">
        <v>791</v>
      </c>
      <c r="L108" s="546"/>
    </row>
    <row r="109" spans="1:12" s="619" customFormat="1" ht="14.25" customHeight="1" x14ac:dyDescent="0.25">
      <c r="A109" s="546" t="s">
        <v>840</v>
      </c>
      <c r="B109" s="546" t="s">
        <v>1563</v>
      </c>
      <c r="C109" s="767">
        <v>43841</v>
      </c>
      <c r="D109" s="618">
        <v>90.41</v>
      </c>
      <c r="E109" s="547">
        <v>1186</v>
      </c>
      <c r="F109" s="548"/>
      <c r="G109" s="547"/>
      <c r="H109" s="618"/>
      <c r="I109" s="547"/>
      <c r="J109" s="546"/>
      <c r="K109" s="546" t="s">
        <v>810</v>
      </c>
      <c r="L109" s="546"/>
    </row>
    <row r="110" spans="1:12" s="619" customFormat="1" ht="14.25" customHeight="1" x14ac:dyDescent="0.25">
      <c r="A110" s="546" t="s">
        <v>1167</v>
      </c>
      <c r="B110" s="546" t="s">
        <v>1564</v>
      </c>
      <c r="C110" s="546" t="s">
        <v>1551</v>
      </c>
      <c r="D110" s="618">
        <v>17.57</v>
      </c>
      <c r="E110" s="547">
        <v>150</v>
      </c>
      <c r="F110" s="548"/>
      <c r="G110" s="547"/>
      <c r="H110" s="618"/>
      <c r="I110" s="547"/>
      <c r="J110" s="546"/>
      <c r="K110" s="546" t="s">
        <v>792</v>
      </c>
      <c r="L110" s="546"/>
    </row>
    <row r="111" spans="1:12" s="619" customFormat="1" ht="14.25" customHeight="1" x14ac:dyDescent="0.25">
      <c r="A111" s="546" t="s">
        <v>1565</v>
      </c>
      <c r="B111" s="546" t="s">
        <v>1566</v>
      </c>
      <c r="C111" s="546" t="s">
        <v>1551</v>
      </c>
      <c r="D111" s="618">
        <v>22.28</v>
      </c>
      <c r="E111" s="547">
        <v>202</v>
      </c>
      <c r="F111" s="548"/>
      <c r="G111" s="547"/>
      <c r="H111" s="618"/>
      <c r="I111" s="547"/>
      <c r="J111" s="546"/>
      <c r="K111" s="546" t="s">
        <v>820</v>
      </c>
      <c r="L111" s="546"/>
    </row>
    <row r="112" spans="1:12" s="619" customFormat="1" ht="14.25" customHeight="1" x14ac:dyDescent="0.25">
      <c r="A112" s="546" t="s">
        <v>1567</v>
      </c>
      <c r="B112" s="546" t="s">
        <v>1568</v>
      </c>
      <c r="C112" s="546" t="s">
        <v>1551</v>
      </c>
      <c r="D112" s="618">
        <v>129.06</v>
      </c>
      <c r="E112" s="547">
        <v>1247</v>
      </c>
      <c r="F112" s="548"/>
      <c r="G112" s="547"/>
      <c r="H112" s="618"/>
      <c r="I112" s="547"/>
      <c r="J112" s="546"/>
      <c r="K112" s="546" t="s">
        <v>819</v>
      </c>
      <c r="L112" s="546"/>
    </row>
    <row r="113" spans="1:12" s="619" customFormat="1" ht="14.25" customHeight="1" x14ac:dyDescent="0.25">
      <c r="A113" s="546" t="s">
        <v>1569</v>
      </c>
      <c r="B113" s="546" t="s">
        <v>1570</v>
      </c>
      <c r="C113" s="546" t="s">
        <v>1551</v>
      </c>
      <c r="D113" s="618">
        <v>615.27</v>
      </c>
      <c r="E113" s="547">
        <v>8760</v>
      </c>
      <c r="F113" s="548"/>
      <c r="G113" s="547"/>
      <c r="H113" s="618"/>
      <c r="I113" s="547"/>
      <c r="J113" s="546"/>
      <c r="K113" s="546" t="s">
        <v>818</v>
      </c>
      <c r="L113" s="546"/>
    </row>
    <row r="114" spans="1:12" s="619" customFormat="1" ht="14.25" customHeight="1" x14ac:dyDescent="0.25">
      <c r="A114" s="546" t="s">
        <v>1571</v>
      </c>
      <c r="B114" s="546" t="s">
        <v>1572</v>
      </c>
      <c r="C114" s="546" t="s">
        <v>1551</v>
      </c>
      <c r="D114" s="618">
        <v>37.299999999999997</v>
      </c>
      <c r="E114" s="547">
        <v>150</v>
      </c>
      <c r="F114" s="548"/>
      <c r="G114" s="547"/>
      <c r="H114" s="618"/>
      <c r="I114" s="547"/>
      <c r="J114" s="546"/>
      <c r="K114" s="546" t="s">
        <v>797</v>
      </c>
      <c r="L114" s="546"/>
    </row>
    <row r="115" spans="1:12" s="619" customFormat="1" ht="14.25" customHeight="1" x14ac:dyDescent="0.25">
      <c r="A115" s="546" t="s">
        <v>1573</v>
      </c>
      <c r="B115" s="546" t="s">
        <v>1574</v>
      </c>
      <c r="C115" s="546" t="s">
        <v>1551</v>
      </c>
      <c r="D115" s="618">
        <v>22.15</v>
      </c>
      <c r="E115" s="547">
        <v>160</v>
      </c>
      <c r="F115" s="548"/>
      <c r="G115" s="547"/>
      <c r="H115" s="618"/>
      <c r="I115" s="547"/>
      <c r="J115" s="546"/>
      <c r="K115" s="546" t="s">
        <v>809</v>
      </c>
      <c r="L115" s="546"/>
    </row>
    <row r="116" spans="1:12" s="619" customFormat="1" ht="14.25" customHeight="1" x14ac:dyDescent="0.25">
      <c r="A116" s="546" t="s">
        <v>1575</v>
      </c>
      <c r="B116" s="546" t="s">
        <v>1576</v>
      </c>
      <c r="C116" s="546" t="s">
        <v>1551</v>
      </c>
      <c r="D116" s="618">
        <v>290.14</v>
      </c>
      <c r="E116" s="547">
        <v>3041</v>
      </c>
      <c r="F116" s="548"/>
      <c r="G116" s="547"/>
      <c r="H116" s="618"/>
      <c r="I116" s="547"/>
      <c r="J116" s="546"/>
      <c r="K116" s="546" t="s">
        <v>822</v>
      </c>
      <c r="L116" s="546"/>
    </row>
    <row r="117" spans="1:12" s="619" customFormat="1" ht="14.25" customHeight="1" x14ac:dyDescent="0.25">
      <c r="A117" s="546" t="s">
        <v>828</v>
      </c>
      <c r="B117" s="546" t="s">
        <v>1577</v>
      </c>
      <c r="C117" s="546" t="s">
        <v>1551</v>
      </c>
      <c r="D117" s="618">
        <v>10.9</v>
      </c>
      <c r="E117" s="547">
        <v>70</v>
      </c>
      <c r="F117" s="548"/>
      <c r="G117" s="547"/>
      <c r="H117" s="618"/>
      <c r="I117" s="547"/>
      <c r="J117" s="546"/>
      <c r="K117" s="546" t="s">
        <v>780</v>
      </c>
      <c r="L117" s="546"/>
    </row>
    <row r="118" spans="1:12" s="619" customFormat="1" ht="14.25" customHeight="1" x14ac:dyDescent="0.25">
      <c r="A118" s="546" t="s">
        <v>1578</v>
      </c>
      <c r="B118" s="546" t="s">
        <v>1579</v>
      </c>
      <c r="C118" s="546" t="s">
        <v>1551</v>
      </c>
      <c r="D118" s="618">
        <v>9.07</v>
      </c>
      <c r="E118" s="547">
        <v>1268</v>
      </c>
      <c r="F118" s="548"/>
      <c r="G118" s="547"/>
      <c r="H118" s="618"/>
      <c r="I118" s="547"/>
      <c r="J118" s="546"/>
      <c r="K118" s="546" t="s">
        <v>826</v>
      </c>
      <c r="L118" s="546"/>
    </row>
    <row r="119" spans="1:12" s="619" customFormat="1" ht="14.25" customHeight="1" x14ac:dyDescent="0.25">
      <c r="A119" s="546" t="s">
        <v>1580</v>
      </c>
      <c r="B119" s="546" t="s">
        <v>1581</v>
      </c>
      <c r="C119" s="546" t="s">
        <v>1551</v>
      </c>
      <c r="D119" s="618">
        <v>3302.7</v>
      </c>
      <c r="E119" s="547">
        <v>56800</v>
      </c>
      <c r="F119" s="548"/>
      <c r="G119" s="547"/>
      <c r="H119" s="618"/>
      <c r="I119" s="547"/>
      <c r="J119" s="546"/>
      <c r="K119" s="546" t="s">
        <v>783</v>
      </c>
      <c r="L119" s="546"/>
    </row>
    <row r="120" spans="1:12" s="619" customFormat="1" ht="14.25" customHeight="1" x14ac:dyDescent="0.25">
      <c r="A120" s="546" t="s">
        <v>1582</v>
      </c>
      <c r="B120" s="546" t="s">
        <v>1583</v>
      </c>
      <c r="C120" s="546" t="s">
        <v>1551</v>
      </c>
      <c r="D120" s="618">
        <v>135.83000000000001</v>
      </c>
      <c r="E120" s="547">
        <v>1842</v>
      </c>
      <c r="F120" s="548"/>
      <c r="G120" s="547"/>
      <c r="H120" s="618"/>
      <c r="I120" s="547"/>
      <c r="J120" s="546"/>
      <c r="K120" s="546" t="s">
        <v>825</v>
      </c>
      <c r="L120" s="546"/>
    </row>
    <row r="121" spans="1:12" s="619" customFormat="1" ht="14.25" customHeight="1" x14ac:dyDescent="0.25">
      <c r="A121" s="546" t="s">
        <v>1584</v>
      </c>
      <c r="B121" s="546" t="s">
        <v>1585</v>
      </c>
      <c r="C121" s="546" t="s">
        <v>1551</v>
      </c>
      <c r="D121" s="618">
        <v>44.98</v>
      </c>
      <c r="E121" s="547">
        <v>0</v>
      </c>
      <c r="F121" s="548"/>
      <c r="G121" s="547"/>
      <c r="H121" s="618"/>
      <c r="I121" s="547"/>
      <c r="J121" s="546"/>
      <c r="K121" s="546" t="s">
        <v>785</v>
      </c>
      <c r="L121" s="546"/>
    </row>
    <row r="122" spans="1:12" s="619" customFormat="1" ht="14.25" customHeight="1" x14ac:dyDescent="0.25">
      <c r="A122" s="546" t="s">
        <v>935</v>
      </c>
      <c r="B122" s="546" t="s">
        <v>1586</v>
      </c>
      <c r="C122" s="546" t="s">
        <v>1551</v>
      </c>
      <c r="D122" s="618">
        <v>20.12</v>
      </c>
      <c r="E122" s="547">
        <v>140</v>
      </c>
      <c r="F122" s="548"/>
      <c r="G122" s="547"/>
      <c r="H122" s="618"/>
      <c r="I122" s="547"/>
      <c r="J122" s="546"/>
      <c r="K122" s="546" t="s">
        <v>823</v>
      </c>
      <c r="L122" s="546"/>
    </row>
    <row r="123" spans="1:12" s="619" customFormat="1" ht="14.25" customHeight="1" x14ac:dyDescent="0.25">
      <c r="A123" s="546" t="s">
        <v>1587</v>
      </c>
      <c r="B123" s="546" t="s">
        <v>1588</v>
      </c>
      <c r="C123" s="546" t="s">
        <v>1551</v>
      </c>
      <c r="D123" s="618">
        <v>17.57</v>
      </c>
      <c r="E123" s="547">
        <v>150</v>
      </c>
      <c r="F123" s="548"/>
      <c r="G123" s="547"/>
      <c r="H123" s="618"/>
      <c r="I123" s="547"/>
      <c r="J123" s="546"/>
      <c r="K123" s="546" t="s">
        <v>812</v>
      </c>
      <c r="L123" s="546"/>
    </row>
    <row r="124" spans="1:12" s="619" customFormat="1" ht="14.25" customHeight="1" x14ac:dyDescent="0.25">
      <c r="A124" s="546" t="s">
        <v>1589</v>
      </c>
      <c r="B124" s="546" t="s">
        <v>1590</v>
      </c>
      <c r="C124" s="546" t="s">
        <v>1551</v>
      </c>
      <c r="D124" s="618">
        <v>13.61</v>
      </c>
      <c r="E124" s="547">
        <v>80</v>
      </c>
      <c r="F124" s="548"/>
      <c r="G124" s="547"/>
      <c r="H124" s="618"/>
      <c r="I124" s="547"/>
      <c r="J124" s="546"/>
      <c r="K124" s="546" t="s">
        <v>802</v>
      </c>
      <c r="L124" s="546"/>
    </row>
    <row r="125" spans="1:12" s="619" customFormat="1" ht="14.25" customHeight="1" x14ac:dyDescent="0.25">
      <c r="A125" s="546" t="s">
        <v>1591</v>
      </c>
      <c r="B125" s="546" t="s">
        <v>1592</v>
      </c>
      <c r="C125" s="546" t="s">
        <v>1551</v>
      </c>
      <c r="D125" s="618">
        <v>870.84</v>
      </c>
      <c r="E125" s="547">
        <v>10200</v>
      </c>
      <c r="F125" s="548"/>
      <c r="G125" s="547"/>
      <c r="H125" s="618"/>
      <c r="I125" s="547"/>
      <c r="J125" s="546"/>
      <c r="K125" s="546" t="s">
        <v>1593</v>
      </c>
      <c r="L125" s="546"/>
    </row>
    <row r="126" spans="1:12" s="619" customFormat="1" ht="14.25" customHeight="1" x14ac:dyDescent="0.25">
      <c r="A126" s="546" t="s">
        <v>1594</v>
      </c>
      <c r="B126" s="546" t="s">
        <v>1595</v>
      </c>
      <c r="C126" s="546" t="s">
        <v>1551</v>
      </c>
      <c r="D126" s="618">
        <v>10.9</v>
      </c>
      <c r="E126" s="547">
        <v>70</v>
      </c>
      <c r="F126" s="548"/>
      <c r="G126" s="547"/>
      <c r="H126" s="618"/>
      <c r="I126" s="547"/>
      <c r="J126" s="546"/>
      <c r="K126" s="546" t="s">
        <v>801</v>
      </c>
      <c r="L126" s="546"/>
    </row>
    <row r="127" spans="1:12" s="619" customFormat="1" ht="14.25" customHeight="1" x14ac:dyDescent="0.25">
      <c r="A127" s="546" t="s">
        <v>1596</v>
      </c>
      <c r="B127" s="546" t="s">
        <v>1597</v>
      </c>
      <c r="C127" s="546" t="s">
        <v>1551</v>
      </c>
      <c r="D127" s="618">
        <v>36.47</v>
      </c>
      <c r="E127" s="547">
        <v>407</v>
      </c>
      <c r="F127" s="548"/>
      <c r="G127" s="547"/>
      <c r="H127" s="618"/>
      <c r="I127" s="547"/>
      <c r="J127" s="546"/>
      <c r="K127" s="546" t="s">
        <v>894</v>
      </c>
      <c r="L127" s="546"/>
    </row>
    <row r="128" spans="1:12" s="619" customFormat="1" ht="14.25" customHeight="1" x14ac:dyDescent="0.25">
      <c r="A128" s="546" t="s">
        <v>1598</v>
      </c>
      <c r="B128" s="546" t="s">
        <v>1599</v>
      </c>
      <c r="C128" s="546" t="s">
        <v>1551</v>
      </c>
      <c r="D128" s="618">
        <v>107.09</v>
      </c>
      <c r="E128" s="547">
        <v>770</v>
      </c>
      <c r="F128" s="548"/>
      <c r="G128" s="547"/>
      <c r="H128" s="618"/>
      <c r="I128" s="547"/>
      <c r="J128" s="546"/>
      <c r="K128" s="546" t="s">
        <v>816</v>
      </c>
      <c r="L128" s="546"/>
    </row>
    <row r="129" spans="1:12" s="619" customFormat="1" ht="14.25" customHeight="1" x14ac:dyDescent="0.25">
      <c r="A129" s="546" t="s">
        <v>1600</v>
      </c>
      <c r="B129" s="546" t="s">
        <v>1601</v>
      </c>
      <c r="C129" s="546" t="s">
        <v>1551</v>
      </c>
      <c r="D129" s="618">
        <v>157.96</v>
      </c>
      <c r="E129" s="547">
        <v>2162</v>
      </c>
      <c r="F129" s="548"/>
      <c r="G129" s="547"/>
      <c r="H129" s="618"/>
      <c r="I129" s="547"/>
      <c r="J129" s="546"/>
      <c r="K129" s="546" t="s">
        <v>798</v>
      </c>
      <c r="L129" s="546"/>
    </row>
    <row r="130" spans="1:12" s="619" customFormat="1" ht="14.25" customHeight="1" x14ac:dyDescent="0.25">
      <c r="A130" s="546" t="s">
        <v>1602</v>
      </c>
      <c r="B130" s="546" t="s">
        <v>1603</v>
      </c>
      <c r="C130" s="546" t="s">
        <v>1551</v>
      </c>
      <c r="D130" s="618">
        <v>205.7</v>
      </c>
      <c r="E130" s="547">
        <v>1931</v>
      </c>
      <c r="F130" s="548"/>
      <c r="G130" s="547"/>
      <c r="H130" s="618"/>
      <c r="I130" s="547"/>
      <c r="J130" s="546"/>
      <c r="K130" s="546" t="s">
        <v>784</v>
      </c>
      <c r="L130" s="546"/>
    </row>
    <row r="131" spans="1:12" s="619" customFormat="1" ht="14.25" customHeight="1" x14ac:dyDescent="0.25">
      <c r="A131" s="546" t="s">
        <v>1604</v>
      </c>
      <c r="B131" s="546" t="s">
        <v>1605</v>
      </c>
      <c r="C131" s="546" t="s">
        <v>1551</v>
      </c>
      <c r="D131" s="618">
        <v>8.91</v>
      </c>
      <c r="E131" s="547">
        <v>9</v>
      </c>
      <c r="F131" s="548"/>
      <c r="G131" s="547"/>
      <c r="H131" s="618"/>
      <c r="I131" s="547"/>
      <c r="J131" s="546"/>
      <c r="K131" s="546" t="s">
        <v>790</v>
      </c>
      <c r="L131" s="546"/>
    </row>
    <row r="132" spans="1:12" s="619" customFormat="1" ht="14.25" customHeight="1" x14ac:dyDescent="0.25">
      <c r="A132" s="546" t="s">
        <v>1606</v>
      </c>
      <c r="B132" s="546" t="s">
        <v>1607</v>
      </c>
      <c r="C132" s="546" t="s">
        <v>1551</v>
      </c>
      <c r="D132" s="618">
        <v>82.97</v>
      </c>
      <c r="E132" s="547">
        <v>1065</v>
      </c>
      <c r="F132" s="548"/>
      <c r="G132" s="547"/>
      <c r="H132" s="618"/>
      <c r="I132" s="547"/>
      <c r="J132" s="546"/>
      <c r="K132" s="546" t="s">
        <v>781</v>
      </c>
      <c r="L132" s="546"/>
    </row>
    <row r="133" spans="1:12" s="619" customFormat="1" ht="14.25" customHeight="1" x14ac:dyDescent="0.25">
      <c r="A133" s="546" t="s">
        <v>1606</v>
      </c>
      <c r="B133" s="546" t="s">
        <v>1608</v>
      </c>
      <c r="C133" s="546" t="s">
        <v>1551</v>
      </c>
      <c r="D133" s="618">
        <v>228.43</v>
      </c>
      <c r="E133" s="547">
        <v>3052</v>
      </c>
      <c r="F133" s="548"/>
      <c r="G133" s="547"/>
      <c r="H133" s="618"/>
      <c r="I133" s="547"/>
      <c r="J133" s="546"/>
      <c r="K133" s="546" t="s">
        <v>795</v>
      </c>
      <c r="L133" s="546"/>
    </row>
    <row r="134" spans="1:12" s="619" customFormat="1" ht="14.25" customHeight="1" x14ac:dyDescent="0.25">
      <c r="A134" s="546" t="s">
        <v>1609</v>
      </c>
      <c r="B134" s="546" t="s">
        <v>1610</v>
      </c>
      <c r="C134" s="546" t="s">
        <v>1551</v>
      </c>
      <c r="D134" s="618">
        <v>883.64</v>
      </c>
      <c r="E134" s="547">
        <v>11520</v>
      </c>
      <c r="F134" s="548"/>
      <c r="G134" s="547"/>
      <c r="H134" s="618"/>
      <c r="I134" s="547"/>
      <c r="J134" s="546"/>
      <c r="K134" s="546" t="s">
        <v>789</v>
      </c>
      <c r="L134" s="546"/>
    </row>
    <row r="135" spans="1:12" s="619" customFormat="1" ht="14.25" customHeight="1" x14ac:dyDescent="0.25">
      <c r="A135" s="546" t="s">
        <v>1611</v>
      </c>
      <c r="B135" s="546" t="s">
        <v>1612</v>
      </c>
      <c r="C135" s="546" t="s">
        <v>1551</v>
      </c>
      <c r="D135" s="618">
        <v>128.09</v>
      </c>
      <c r="E135" s="547">
        <v>1768</v>
      </c>
      <c r="F135" s="548"/>
      <c r="G135" s="547"/>
      <c r="H135" s="618"/>
      <c r="I135" s="547"/>
      <c r="J135" s="546"/>
      <c r="K135" s="546" t="s">
        <v>815</v>
      </c>
      <c r="L135" s="546"/>
    </row>
    <row r="136" spans="1:12" s="619" customFormat="1" ht="14.25" customHeight="1" x14ac:dyDescent="0.25">
      <c r="A136" s="546" t="s">
        <v>1613</v>
      </c>
      <c r="B136" s="546" t="s">
        <v>1614</v>
      </c>
      <c r="C136" s="546" t="s">
        <v>1551</v>
      </c>
      <c r="D136" s="618">
        <v>162.71</v>
      </c>
      <c r="E136" s="547">
        <v>0</v>
      </c>
      <c r="F136" s="548"/>
      <c r="G136" s="547"/>
      <c r="H136" s="618"/>
      <c r="I136" s="547"/>
      <c r="J136" s="546"/>
      <c r="K136" s="546" t="s">
        <v>796</v>
      </c>
      <c r="L136" s="546"/>
    </row>
    <row r="137" spans="1:12" s="619" customFormat="1" ht="14.25" customHeight="1" x14ac:dyDescent="0.25">
      <c r="A137" s="546" t="s">
        <v>1615</v>
      </c>
      <c r="B137" s="546" t="s">
        <v>1616</v>
      </c>
      <c r="C137" s="546" t="s">
        <v>1551</v>
      </c>
      <c r="D137" s="618">
        <v>1336.53</v>
      </c>
      <c r="E137" s="547">
        <v>11550</v>
      </c>
      <c r="F137" s="548"/>
      <c r="G137" s="547"/>
      <c r="H137" s="618"/>
      <c r="I137" s="547"/>
      <c r="J137" s="546"/>
      <c r="K137" s="546" t="s">
        <v>824</v>
      </c>
      <c r="L137" s="546"/>
    </row>
    <row r="138" spans="1:12" s="619" customFormat="1" ht="14.25" customHeight="1" x14ac:dyDescent="0.25">
      <c r="A138" s="546" t="s">
        <v>1617</v>
      </c>
      <c r="B138" s="546" t="s">
        <v>1618</v>
      </c>
      <c r="C138" s="546" t="s">
        <v>1551</v>
      </c>
      <c r="D138" s="618">
        <v>504.21</v>
      </c>
      <c r="E138" s="547">
        <v>3000</v>
      </c>
      <c r="F138" s="548"/>
      <c r="G138" s="547"/>
      <c r="H138" s="618"/>
      <c r="I138" s="547"/>
      <c r="J138" s="546"/>
      <c r="K138" s="546" t="s">
        <v>805</v>
      </c>
      <c r="L138" s="546"/>
    </row>
    <row r="139" spans="1:12" s="619" customFormat="1" ht="14.25" customHeight="1" x14ac:dyDescent="0.25">
      <c r="A139" s="546" t="s">
        <v>1619</v>
      </c>
      <c r="B139" s="546" t="s">
        <v>1620</v>
      </c>
      <c r="C139" s="546" t="s">
        <v>1551</v>
      </c>
      <c r="D139" s="618">
        <v>320.87</v>
      </c>
      <c r="E139" s="547">
        <v>1400</v>
      </c>
      <c r="F139" s="548"/>
      <c r="G139" s="547"/>
      <c r="H139" s="618"/>
      <c r="I139" s="547"/>
      <c r="J139" s="546"/>
      <c r="K139" s="546" t="s">
        <v>806</v>
      </c>
      <c r="L139" s="546"/>
    </row>
    <row r="140" spans="1:12" s="619" customFormat="1" ht="14.25" customHeight="1" x14ac:dyDescent="0.25">
      <c r="A140" s="546" t="s">
        <v>1621</v>
      </c>
      <c r="B140" s="546" t="s">
        <v>1622</v>
      </c>
      <c r="C140" s="546" t="s">
        <v>1551</v>
      </c>
      <c r="D140" s="618">
        <v>794</v>
      </c>
      <c r="E140" s="547">
        <v>4560</v>
      </c>
      <c r="F140" s="548"/>
      <c r="G140" s="547"/>
      <c r="H140" s="618"/>
      <c r="I140" s="547"/>
      <c r="J140" s="546"/>
      <c r="K140" s="546" t="s">
        <v>778</v>
      </c>
      <c r="L140" s="546"/>
    </row>
    <row r="141" spans="1:12" s="619" customFormat="1" ht="14.25" customHeight="1" x14ac:dyDescent="0.25">
      <c r="A141" s="546" t="s">
        <v>1621</v>
      </c>
      <c r="B141" s="546" t="s">
        <v>1623</v>
      </c>
      <c r="C141" s="546" t="s">
        <v>1551</v>
      </c>
      <c r="D141" s="618">
        <v>176.82</v>
      </c>
      <c r="E141" s="547">
        <v>600</v>
      </c>
      <c r="F141" s="548"/>
      <c r="G141" s="547"/>
      <c r="H141" s="618"/>
      <c r="I141" s="547"/>
      <c r="J141" s="546"/>
      <c r="K141" s="546" t="s">
        <v>1624</v>
      </c>
      <c r="L141" s="546"/>
    </row>
    <row r="142" spans="1:12" s="619" customFormat="1" ht="14.25" customHeight="1" x14ac:dyDescent="0.25">
      <c r="A142" s="546" t="s">
        <v>869</v>
      </c>
      <c r="B142" s="546" t="s">
        <v>1625</v>
      </c>
      <c r="C142" s="546" t="s">
        <v>1551</v>
      </c>
      <c r="D142" s="618">
        <v>8.1300000000000008</v>
      </c>
      <c r="E142" s="547">
        <v>0</v>
      </c>
      <c r="F142" s="548"/>
      <c r="G142" s="547"/>
      <c r="H142" s="618"/>
      <c r="I142" s="547"/>
      <c r="J142" s="546"/>
      <c r="K142" s="546" t="s">
        <v>803</v>
      </c>
      <c r="L142" s="546"/>
    </row>
    <row r="143" spans="1:12" s="619" customFormat="1" ht="14.25" customHeight="1" x14ac:dyDescent="0.25">
      <c r="A143" s="546" t="s">
        <v>849</v>
      </c>
      <c r="B143" s="546" t="s">
        <v>1626</v>
      </c>
      <c r="C143" s="546" t="s">
        <v>1551</v>
      </c>
      <c r="D143" s="618">
        <v>640.15</v>
      </c>
      <c r="E143" s="547">
        <v>10358</v>
      </c>
      <c r="F143" s="548"/>
      <c r="G143" s="547"/>
      <c r="H143" s="618"/>
      <c r="I143" s="547"/>
      <c r="J143" s="546"/>
      <c r="K143" s="546" t="s">
        <v>788</v>
      </c>
      <c r="L143" s="546"/>
    </row>
    <row r="144" spans="1:12" s="619" customFormat="1" ht="14.25" customHeight="1" x14ac:dyDescent="0.25">
      <c r="A144" s="546" t="s">
        <v>1627</v>
      </c>
      <c r="B144" s="546" t="s">
        <v>1628</v>
      </c>
      <c r="C144" s="546" t="s">
        <v>1551</v>
      </c>
      <c r="D144" s="618">
        <v>119.43</v>
      </c>
      <c r="E144" s="547">
        <v>1040</v>
      </c>
      <c r="F144" s="548"/>
      <c r="G144" s="547"/>
      <c r="H144" s="618"/>
      <c r="I144" s="547"/>
      <c r="J144" s="546"/>
      <c r="K144" s="546" t="s">
        <v>786</v>
      </c>
      <c r="L144" s="546"/>
    </row>
    <row r="145" spans="1:36" s="619" customFormat="1" ht="14.25" customHeight="1" x14ac:dyDescent="0.25">
      <c r="A145" s="546" t="s">
        <v>1629</v>
      </c>
      <c r="B145" s="546" t="s">
        <v>1630</v>
      </c>
      <c r="C145" s="546" t="s">
        <v>1551</v>
      </c>
      <c r="D145" s="618">
        <v>321.22000000000003</v>
      </c>
      <c r="E145" s="547">
        <v>3154</v>
      </c>
      <c r="F145" s="548"/>
      <c r="G145" s="547"/>
      <c r="H145" s="618"/>
      <c r="I145" s="547"/>
      <c r="J145" s="546"/>
      <c r="K145" s="546" t="s">
        <v>804</v>
      </c>
      <c r="L145" s="546"/>
    </row>
    <row r="146" spans="1:36" s="619" customFormat="1" ht="14.25" customHeight="1" x14ac:dyDescent="0.25">
      <c r="A146" s="546"/>
      <c r="B146" s="546"/>
      <c r="C146" s="546"/>
      <c r="D146" s="618"/>
      <c r="E146" s="547"/>
      <c r="F146" s="548"/>
      <c r="G146" s="547"/>
      <c r="H146" s="618"/>
      <c r="I146" s="547"/>
      <c r="J146" s="546"/>
      <c r="K146" s="546"/>
      <c r="L146" s="546"/>
    </row>
    <row r="147" spans="1:36" s="619" customFormat="1" ht="14.25" customHeight="1" x14ac:dyDescent="0.25">
      <c r="A147" s="546"/>
      <c r="B147" s="546"/>
      <c r="C147" s="546"/>
      <c r="D147" s="618"/>
      <c r="E147" s="547"/>
      <c r="F147" s="548"/>
      <c r="G147" s="547"/>
      <c r="H147" s="618"/>
      <c r="I147" s="547"/>
      <c r="J147" s="546"/>
      <c r="K147" s="546"/>
      <c r="L147" s="546"/>
    </row>
    <row r="148" spans="1:36" s="619" customFormat="1" ht="14.25" customHeight="1" x14ac:dyDescent="0.25">
      <c r="A148" s="546"/>
      <c r="B148" s="546"/>
      <c r="C148" s="546"/>
      <c r="D148" s="618"/>
      <c r="E148" s="547"/>
      <c r="F148" s="548"/>
      <c r="G148" s="547"/>
      <c r="H148" s="618"/>
      <c r="I148" s="547"/>
      <c r="J148" s="546"/>
      <c r="K148" s="546"/>
      <c r="L148" s="546"/>
    </row>
    <row r="149" spans="1:36" s="619" customFormat="1" ht="14.25" customHeight="1" x14ac:dyDescent="0.25">
      <c r="A149" s="546"/>
      <c r="B149" s="546"/>
      <c r="C149" s="546"/>
      <c r="D149" s="618"/>
      <c r="E149" s="547"/>
      <c r="F149" s="548"/>
      <c r="G149" s="547"/>
      <c r="H149" s="618"/>
      <c r="I149" s="547"/>
      <c r="J149" s="546"/>
      <c r="K149" s="546"/>
      <c r="L149" s="546"/>
    </row>
    <row r="150" spans="1:36" s="619" customFormat="1" ht="14.25" customHeight="1" x14ac:dyDescent="0.25">
      <c r="A150" s="546"/>
      <c r="B150" s="546"/>
      <c r="C150" s="546"/>
      <c r="D150" s="618"/>
      <c r="E150" s="547"/>
      <c r="F150" s="548"/>
      <c r="G150" s="547"/>
      <c r="H150" s="618"/>
      <c r="I150" s="547"/>
      <c r="J150" s="546"/>
      <c r="K150" s="546"/>
      <c r="L150" s="546"/>
    </row>
    <row r="151" spans="1:36" s="184" customFormat="1" x14ac:dyDescent="0.25">
      <c r="A151" s="695"/>
      <c r="B151" s="681"/>
      <c r="C151" s="289"/>
      <c r="D151" s="269"/>
      <c r="E151" s="757"/>
      <c r="F151" s="544"/>
      <c r="G151" s="757"/>
      <c r="H151" s="269"/>
      <c r="I151" s="757"/>
      <c r="J151" s="245"/>
      <c r="K151" s="245"/>
      <c r="L151" s="245"/>
    </row>
    <row r="152" spans="1:36" s="184" customFormat="1" x14ac:dyDescent="0.25">
      <c r="A152" s="695"/>
      <c r="B152" s="681"/>
      <c r="C152" s="289"/>
      <c r="D152" s="269"/>
      <c r="E152" s="757"/>
      <c r="F152" s="544"/>
      <c r="G152" s="757"/>
      <c r="H152" s="269"/>
      <c r="I152" s="757"/>
      <c r="J152" s="245"/>
      <c r="K152" s="245"/>
      <c r="L152" s="245"/>
    </row>
    <row r="153" spans="1:36" s="199" customFormat="1" x14ac:dyDescent="0.25">
      <c r="A153" s="698" t="s">
        <v>434</v>
      </c>
      <c r="B153" s="687"/>
      <c r="C153" s="249"/>
      <c r="D153" s="250"/>
      <c r="E153" s="750"/>
      <c r="F153" s="543"/>
      <c r="G153" s="750"/>
      <c r="H153" s="250"/>
      <c r="I153" s="750"/>
      <c r="J153" s="249"/>
      <c r="K153" s="249"/>
      <c r="L153" s="24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5" t="s">
        <v>65</v>
      </c>
      <c r="B154" s="681" t="s">
        <v>163</v>
      </c>
      <c r="C154" s="245" t="s">
        <v>1526</v>
      </c>
      <c r="D154" s="269"/>
      <c r="E154" s="757"/>
      <c r="F154" s="544"/>
      <c r="G154" s="757"/>
      <c r="H154" s="269">
        <v>121.61</v>
      </c>
      <c r="I154" s="757">
        <v>161</v>
      </c>
      <c r="J154" s="245"/>
      <c r="K154" s="245"/>
      <c r="L154" s="245"/>
    </row>
    <row r="155" spans="1:36" s="184" customFormat="1" x14ac:dyDescent="0.25">
      <c r="A155" s="695" t="s">
        <v>37</v>
      </c>
      <c r="B155" s="681" t="s">
        <v>190</v>
      </c>
      <c r="C155" s="289" t="s">
        <v>1522</v>
      </c>
      <c r="D155" s="269"/>
      <c r="E155" s="757"/>
      <c r="F155" s="544"/>
      <c r="G155" s="757"/>
      <c r="H155" s="269">
        <v>133.29</v>
      </c>
      <c r="I155" s="757">
        <v>179</v>
      </c>
      <c r="J155" s="245"/>
      <c r="K155" s="245"/>
      <c r="L155" s="245"/>
    </row>
    <row r="156" spans="1:36" s="184" customFormat="1" x14ac:dyDescent="0.25">
      <c r="A156" s="695" t="s">
        <v>71</v>
      </c>
      <c r="B156" s="681" t="s">
        <v>188</v>
      </c>
      <c r="C156" s="245" t="s">
        <v>1522</v>
      </c>
      <c r="D156" s="269"/>
      <c r="E156" s="757"/>
      <c r="F156" s="544"/>
      <c r="G156" s="757"/>
      <c r="H156" s="269">
        <v>39.299999999999997</v>
      </c>
      <c r="I156" s="757">
        <v>11</v>
      </c>
      <c r="J156" s="245"/>
      <c r="K156" s="245"/>
      <c r="L156" s="245"/>
    </row>
    <row r="157" spans="1:36" s="184" customFormat="1" x14ac:dyDescent="0.25">
      <c r="A157" s="695" t="s">
        <v>72</v>
      </c>
      <c r="B157" s="681" t="s">
        <v>187</v>
      </c>
      <c r="C157" s="245" t="s">
        <v>1522</v>
      </c>
      <c r="D157" s="269"/>
      <c r="E157" s="757"/>
      <c r="F157" s="544"/>
      <c r="G157" s="757"/>
      <c r="H157" s="269">
        <v>39.299999999999997</v>
      </c>
      <c r="I157" s="757">
        <v>0</v>
      </c>
      <c r="J157" s="245"/>
      <c r="K157" s="245"/>
      <c r="L157" s="245"/>
    </row>
    <row r="158" spans="1:36" s="184" customFormat="1" x14ac:dyDescent="0.25">
      <c r="A158" s="695" t="s">
        <v>73</v>
      </c>
      <c r="B158" s="681" t="s">
        <v>171</v>
      </c>
      <c r="C158" s="245" t="s">
        <v>1522</v>
      </c>
      <c r="D158" s="269"/>
      <c r="E158" s="757"/>
      <c r="F158" s="544"/>
      <c r="G158" s="757"/>
      <c r="H158" s="269">
        <v>41.44</v>
      </c>
      <c r="I158" s="757">
        <v>24</v>
      </c>
      <c r="J158" s="245"/>
      <c r="K158" s="245"/>
      <c r="L158" s="245"/>
    </row>
    <row r="159" spans="1:36" s="184" customFormat="1" x14ac:dyDescent="0.25">
      <c r="A159" s="695" t="s">
        <v>74</v>
      </c>
      <c r="B159" s="681" t="s">
        <v>170</v>
      </c>
      <c r="C159" s="245" t="s">
        <v>1522</v>
      </c>
      <c r="D159" s="269"/>
      <c r="E159" s="757"/>
      <c r="F159" s="544"/>
      <c r="G159" s="757"/>
      <c r="H159" s="269">
        <v>39.299999999999997</v>
      </c>
      <c r="I159" s="757">
        <v>1</v>
      </c>
      <c r="J159" s="245"/>
      <c r="K159" s="245"/>
      <c r="L159" s="245"/>
    </row>
    <row r="160" spans="1:36" s="184" customFormat="1" x14ac:dyDescent="0.25">
      <c r="A160" s="695" t="s">
        <v>75</v>
      </c>
      <c r="B160" s="681" t="s">
        <v>189</v>
      </c>
      <c r="C160" s="245" t="s">
        <v>1522</v>
      </c>
      <c r="D160" s="269"/>
      <c r="E160" s="757"/>
      <c r="F160" s="544"/>
      <c r="G160" s="757"/>
      <c r="H160" s="269">
        <v>48.38</v>
      </c>
      <c r="I160" s="757">
        <v>37</v>
      </c>
      <c r="J160" s="245"/>
      <c r="K160" s="245"/>
      <c r="L160" s="245"/>
    </row>
    <row r="161" spans="1:12" s="184" customFormat="1" x14ac:dyDescent="0.25">
      <c r="A161" s="695" t="s">
        <v>76</v>
      </c>
      <c r="B161" s="681" t="s">
        <v>169</v>
      </c>
      <c r="C161" s="245" t="s">
        <v>1522</v>
      </c>
      <c r="D161" s="269"/>
      <c r="E161" s="757"/>
      <c r="F161" s="544"/>
      <c r="G161" s="757"/>
      <c r="H161" s="269">
        <v>39.299999999999997</v>
      </c>
      <c r="I161" s="757">
        <v>0</v>
      </c>
      <c r="J161" s="245"/>
      <c r="K161" s="245"/>
      <c r="L161" s="245"/>
    </row>
    <row r="162" spans="1:12" s="184" customFormat="1" x14ac:dyDescent="0.25">
      <c r="A162" s="695" t="s">
        <v>77</v>
      </c>
      <c r="B162" s="681" t="s">
        <v>168</v>
      </c>
      <c r="C162" s="245" t="s">
        <v>1522</v>
      </c>
      <c r="D162" s="269"/>
      <c r="E162" s="757"/>
      <c r="F162" s="544"/>
      <c r="G162" s="757"/>
      <c r="H162" s="269">
        <v>107.98</v>
      </c>
      <c r="I162" s="757">
        <v>140</v>
      </c>
      <c r="J162" s="245"/>
      <c r="K162" s="245"/>
      <c r="L162" s="245"/>
    </row>
    <row r="163" spans="1:12" s="184" customFormat="1" x14ac:dyDescent="0.25">
      <c r="A163" s="695" t="s">
        <v>78</v>
      </c>
      <c r="B163" s="681" t="s">
        <v>197</v>
      </c>
      <c r="C163" s="245" t="s">
        <v>1522</v>
      </c>
      <c r="D163" s="269"/>
      <c r="E163" s="757"/>
      <c r="F163" s="544"/>
      <c r="G163" s="757"/>
      <c r="H163" s="269">
        <v>39.299999999999997</v>
      </c>
      <c r="I163" s="757">
        <v>7</v>
      </c>
      <c r="J163" s="245"/>
      <c r="K163" s="245"/>
      <c r="L163" s="245"/>
    </row>
    <row r="164" spans="1:12" s="184" customFormat="1" x14ac:dyDescent="0.25">
      <c r="A164" s="695" t="s">
        <v>79</v>
      </c>
      <c r="B164" s="681" t="s">
        <v>167</v>
      </c>
      <c r="C164" s="289" t="s">
        <v>1522</v>
      </c>
      <c r="D164" s="269"/>
      <c r="E164" s="757"/>
      <c r="F164" s="544"/>
      <c r="G164" s="757"/>
      <c r="H164" s="269">
        <v>39.299999999999997</v>
      </c>
      <c r="I164" s="757">
        <v>0</v>
      </c>
      <c r="J164" s="245"/>
      <c r="K164" s="245"/>
      <c r="L164" s="245"/>
    </row>
    <row r="165" spans="1:12" s="184" customFormat="1" x14ac:dyDescent="0.25">
      <c r="A165" s="772" t="s">
        <v>80</v>
      </c>
      <c r="B165" s="773" t="s">
        <v>177</v>
      </c>
      <c r="C165" s="774" t="s">
        <v>1522</v>
      </c>
      <c r="D165" s="242"/>
      <c r="E165" s="749"/>
      <c r="F165" s="542"/>
      <c r="G165" s="749"/>
      <c r="H165" s="242">
        <v>39.299999999999997</v>
      </c>
      <c r="I165" s="749">
        <v>0</v>
      </c>
      <c r="J165" s="240"/>
      <c r="K165" s="245"/>
      <c r="L165" s="245"/>
    </row>
    <row r="166" spans="1:12" s="184" customFormat="1" x14ac:dyDescent="0.25">
      <c r="A166" s="695" t="s">
        <v>81</v>
      </c>
      <c r="B166" s="681" t="s">
        <v>180</v>
      </c>
      <c r="C166" s="245" t="s">
        <v>1522</v>
      </c>
      <c r="D166" s="269"/>
      <c r="E166" s="757"/>
      <c r="F166" s="544"/>
      <c r="G166" s="757"/>
      <c r="H166" s="269">
        <v>39.299999999999997</v>
      </c>
      <c r="I166" s="757">
        <v>0</v>
      </c>
      <c r="J166" s="245"/>
      <c r="K166" s="245"/>
      <c r="L166" s="245"/>
    </row>
    <row r="167" spans="1:12" s="184" customFormat="1" x14ac:dyDescent="0.25">
      <c r="A167" s="695" t="s">
        <v>82</v>
      </c>
      <c r="B167" s="681" t="s">
        <v>179</v>
      </c>
      <c r="C167" s="245" t="s">
        <v>1522</v>
      </c>
      <c r="D167" s="269"/>
      <c r="E167" s="757"/>
      <c r="F167" s="544"/>
      <c r="G167" s="757"/>
      <c r="H167" s="269">
        <v>39.299999999999997</v>
      </c>
      <c r="I167" s="757">
        <v>0</v>
      </c>
      <c r="J167" s="245"/>
      <c r="K167" s="245"/>
      <c r="L167" s="245"/>
    </row>
    <row r="168" spans="1:12" s="184" customFormat="1" x14ac:dyDescent="0.25">
      <c r="A168" s="695" t="s">
        <v>83</v>
      </c>
      <c r="B168" s="681" t="s">
        <v>178</v>
      </c>
      <c r="C168" s="245" t="s">
        <v>1522</v>
      </c>
      <c r="D168" s="269"/>
      <c r="E168" s="757"/>
      <c r="F168" s="544"/>
      <c r="G168" s="757"/>
      <c r="H168" s="269">
        <v>39.299999999999997</v>
      </c>
      <c r="I168" s="757">
        <v>0</v>
      </c>
      <c r="J168" s="245"/>
      <c r="K168" s="245"/>
      <c r="L168" s="245"/>
    </row>
    <row r="169" spans="1:12" s="184" customFormat="1" x14ac:dyDescent="0.25">
      <c r="A169" s="695" t="s">
        <v>84</v>
      </c>
      <c r="B169" s="681" t="s">
        <v>175</v>
      </c>
      <c r="C169" s="289" t="s">
        <v>1522</v>
      </c>
      <c r="D169" s="269"/>
      <c r="E169" s="757"/>
      <c r="F169" s="544"/>
      <c r="G169" s="757"/>
      <c r="H169" s="269">
        <v>39.299999999999997</v>
      </c>
      <c r="I169" s="757">
        <v>0</v>
      </c>
      <c r="J169" s="245"/>
      <c r="K169" s="245"/>
      <c r="L169" s="245"/>
    </row>
    <row r="170" spans="1:12" s="184" customFormat="1" x14ac:dyDescent="0.25">
      <c r="A170" s="695" t="s">
        <v>85</v>
      </c>
      <c r="B170" s="681" t="s">
        <v>184</v>
      </c>
      <c r="C170" s="245" t="s">
        <v>1522</v>
      </c>
      <c r="D170" s="269"/>
      <c r="E170" s="757"/>
      <c r="F170" s="544"/>
      <c r="G170" s="757"/>
      <c r="H170" s="269">
        <v>39.299999999999997</v>
      </c>
      <c r="I170" s="757">
        <v>0</v>
      </c>
      <c r="J170" s="245"/>
      <c r="K170" s="245"/>
      <c r="L170" s="245"/>
    </row>
    <row r="171" spans="1:12" s="184" customFormat="1" x14ac:dyDescent="0.25">
      <c r="A171" s="695" t="s">
        <v>86</v>
      </c>
      <c r="B171" s="681" t="s">
        <v>185</v>
      </c>
      <c r="C171" s="245" t="s">
        <v>1522</v>
      </c>
      <c r="D171" s="269"/>
      <c r="E171" s="757"/>
      <c r="F171" s="544"/>
      <c r="G171" s="757"/>
      <c r="H171" s="269">
        <v>39.299999999999997</v>
      </c>
      <c r="I171" s="757">
        <v>3</v>
      </c>
      <c r="J171" s="245"/>
      <c r="K171" s="245"/>
      <c r="L171" s="245"/>
    </row>
    <row r="172" spans="1:12" s="184" customFormat="1" x14ac:dyDescent="0.25">
      <c r="A172" s="695" t="s">
        <v>87</v>
      </c>
      <c r="B172" s="681" t="s">
        <v>181</v>
      </c>
      <c r="C172" s="245" t="s">
        <v>1522</v>
      </c>
      <c r="D172" s="269"/>
      <c r="E172" s="757"/>
      <c r="F172" s="544"/>
      <c r="G172" s="757"/>
      <c r="H172" s="269">
        <v>39.299999999999997</v>
      </c>
      <c r="I172" s="757">
        <v>0</v>
      </c>
      <c r="J172" s="245"/>
      <c r="K172" s="245"/>
      <c r="L172" s="245"/>
    </row>
    <row r="173" spans="1:12" s="184" customFormat="1" x14ac:dyDescent="0.25">
      <c r="A173" s="695" t="s">
        <v>88</v>
      </c>
      <c r="B173" s="681" t="s">
        <v>172</v>
      </c>
      <c r="C173" s="289" t="s">
        <v>1522</v>
      </c>
      <c r="D173" s="269"/>
      <c r="E173" s="757"/>
      <c r="F173" s="544"/>
      <c r="G173" s="757"/>
      <c r="H173" s="269">
        <v>39.299999999999997</v>
      </c>
      <c r="I173" s="757">
        <v>2</v>
      </c>
      <c r="J173" s="245"/>
      <c r="K173" s="245"/>
      <c r="L173" s="245"/>
    </row>
    <row r="174" spans="1:12" s="184" customFormat="1" x14ac:dyDescent="0.25">
      <c r="A174" s="695" t="s">
        <v>89</v>
      </c>
      <c r="B174" s="681" t="s">
        <v>173</v>
      </c>
      <c r="C174" s="245" t="s">
        <v>1522</v>
      </c>
      <c r="D174" s="269"/>
      <c r="E174" s="757"/>
      <c r="F174" s="544"/>
      <c r="G174" s="757"/>
      <c r="H174" s="269">
        <v>44.11</v>
      </c>
      <c r="I174" s="757">
        <v>29</v>
      </c>
      <c r="J174" s="245"/>
      <c r="K174" s="245"/>
      <c r="L174" s="245"/>
    </row>
    <row r="175" spans="1:12" s="184" customFormat="1" x14ac:dyDescent="0.25">
      <c r="A175" s="695" t="s">
        <v>90</v>
      </c>
      <c r="B175" s="681" t="s">
        <v>174</v>
      </c>
      <c r="C175" s="245" t="s">
        <v>1522</v>
      </c>
      <c r="D175" s="269"/>
      <c r="E175" s="757"/>
      <c r="F175" s="544"/>
      <c r="G175" s="757"/>
      <c r="H175" s="269">
        <v>39.299999999999997</v>
      </c>
      <c r="I175" s="757">
        <v>0</v>
      </c>
      <c r="J175" s="245"/>
      <c r="K175" s="245"/>
      <c r="L175" s="245"/>
    </row>
    <row r="176" spans="1:12" s="184" customFormat="1" x14ac:dyDescent="0.25">
      <c r="A176" s="695" t="s">
        <v>91</v>
      </c>
      <c r="B176" s="681" t="s">
        <v>182</v>
      </c>
      <c r="C176" s="245" t="s">
        <v>1522</v>
      </c>
      <c r="D176" s="269"/>
      <c r="E176" s="757"/>
      <c r="F176" s="544"/>
      <c r="G176" s="757"/>
      <c r="H176" s="269">
        <v>39.299999999999997</v>
      </c>
      <c r="I176" s="757">
        <v>6</v>
      </c>
      <c r="J176" s="245"/>
      <c r="K176" s="245"/>
      <c r="L176" s="245"/>
    </row>
    <row r="177" spans="1:12" s="184" customFormat="1" x14ac:dyDescent="0.25">
      <c r="A177" s="695" t="s">
        <v>92</v>
      </c>
      <c r="B177" s="681" t="s">
        <v>186</v>
      </c>
      <c r="C177" s="245" t="s">
        <v>1522</v>
      </c>
      <c r="D177" s="269"/>
      <c r="E177" s="757"/>
      <c r="F177" s="544"/>
      <c r="G177" s="757"/>
      <c r="H177" s="269">
        <v>39.299999999999997</v>
      </c>
      <c r="I177" s="757">
        <v>0</v>
      </c>
      <c r="J177" s="245"/>
      <c r="K177" s="245"/>
      <c r="L177" s="245"/>
    </row>
    <row r="178" spans="1:12" s="184" customFormat="1" x14ac:dyDescent="0.25">
      <c r="A178" s="695" t="s">
        <v>93</v>
      </c>
      <c r="B178" s="681" t="s">
        <v>183</v>
      </c>
      <c r="C178" s="245" t="s">
        <v>1522</v>
      </c>
      <c r="D178" s="269"/>
      <c r="E178" s="757"/>
      <c r="F178" s="544"/>
      <c r="G178" s="757"/>
      <c r="H178" s="269">
        <v>39.299999999999997</v>
      </c>
      <c r="I178" s="757">
        <v>0</v>
      </c>
      <c r="J178" s="245"/>
      <c r="K178" s="245"/>
      <c r="L178" s="245"/>
    </row>
    <row r="179" spans="1:12" s="184" customFormat="1" x14ac:dyDescent="0.25">
      <c r="A179" s="695" t="s">
        <v>103</v>
      </c>
      <c r="B179" s="681" t="s">
        <v>194</v>
      </c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</row>
    <row r="180" spans="1:12" s="184" customFormat="1" ht="26.25" x14ac:dyDescent="0.25">
      <c r="A180" s="695" t="s">
        <v>983</v>
      </c>
      <c r="B180" s="681" t="s">
        <v>981</v>
      </c>
      <c r="C180" s="245" t="s">
        <v>1522</v>
      </c>
      <c r="D180" s="269"/>
      <c r="E180" s="757"/>
      <c r="F180" s="544"/>
      <c r="G180" s="757"/>
      <c r="H180" s="269">
        <v>39.299999999999997</v>
      </c>
      <c r="I180" s="757">
        <v>12</v>
      </c>
      <c r="J180" s="245"/>
      <c r="K180" s="245"/>
      <c r="L180" s="245"/>
    </row>
    <row r="181" spans="1:12" s="184" customFormat="1" x14ac:dyDescent="0.25">
      <c r="A181" s="695" t="s">
        <v>980</v>
      </c>
      <c r="B181" s="681" t="s">
        <v>196</v>
      </c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</row>
    <row r="182" spans="1:12" s="184" customFormat="1" x14ac:dyDescent="0.25">
      <c r="A182" s="695" t="s">
        <v>1076</v>
      </c>
      <c r="B182" s="681" t="s">
        <v>166</v>
      </c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</row>
    <row r="183" spans="1:12" s="184" customFormat="1" x14ac:dyDescent="0.25">
      <c r="A183" s="695" t="s">
        <v>1077</v>
      </c>
      <c r="B183" s="681" t="s">
        <v>193</v>
      </c>
      <c r="C183" s="245" t="s">
        <v>1522</v>
      </c>
      <c r="D183" s="269"/>
      <c r="E183" s="757"/>
      <c r="F183" s="544"/>
      <c r="G183" s="757"/>
      <c r="H183" s="269">
        <v>39.299999999999997</v>
      </c>
      <c r="I183" s="757">
        <v>13</v>
      </c>
      <c r="J183" s="245"/>
      <c r="K183" s="245"/>
      <c r="L183" s="245"/>
    </row>
    <row r="184" spans="1:12" s="184" customFormat="1" x14ac:dyDescent="0.25">
      <c r="A184" s="695" t="s">
        <v>1075</v>
      </c>
      <c r="B184" s="681" t="s">
        <v>192</v>
      </c>
      <c r="C184" s="245" t="s">
        <v>1522</v>
      </c>
      <c r="D184" s="269"/>
      <c r="E184" s="757"/>
      <c r="F184" s="544"/>
      <c r="G184" s="757"/>
      <c r="H184" s="269">
        <v>39.299999999999997</v>
      </c>
      <c r="I184" s="757">
        <v>0</v>
      </c>
      <c r="J184" s="245"/>
      <c r="K184" s="245"/>
      <c r="L184" s="245"/>
    </row>
    <row r="185" spans="1:12" s="184" customFormat="1" x14ac:dyDescent="0.25">
      <c r="A185" s="695" t="s">
        <v>1066</v>
      </c>
      <c r="B185" s="681" t="s">
        <v>139</v>
      </c>
      <c r="C185" s="245" t="s">
        <v>1531</v>
      </c>
      <c r="D185" s="269"/>
      <c r="E185" s="757"/>
      <c r="F185" s="544"/>
      <c r="G185" s="757"/>
      <c r="H185" s="269">
        <v>40.369999999999997</v>
      </c>
      <c r="I185" s="757">
        <v>22</v>
      </c>
      <c r="J185" s="245"/>
      <c r="K185" s="245"/>
      <c r="L185" s="245"/>
    </row>
    <row r="186" spans="1:12" s="184" customFormat="1" x14ac:dyDescent="0.25">
      <c r="A186" s="695" t="s">
        <v>64</v>
      </c>
      <c r="B186" s="681" t="s">
        <v>191</v>
      </c>
      <c r="C186" s="289"/>
      <c r="D186" s="269"/>
      <c r="E186" s="757"/>
      <c r="F186" s="544"/>
      <c r="G186" s="757"/>
      <c r="H186" s="269"/>
      <c r="I186" s="757"/>
      <c r="J186" s="245"/>
      <c r="K186" s="245"/>
      <c r="L186" s="245"/>
    </row>
    <row r="187" spans="1:12" s="184" customFormat="1" x14ac:dyDescent="0.25">
      <c r="A187" s="695" t="s">
        <v>1093</v>
      </c>
      <c r="B187" s="681" t="s">
        <v>131</v>
      </c>
      <c r="C187" s="245" t="s">
        <v>1531</v>
      </c>
      <c r="D187" s="269"/>
      <c r="E187" s="757"/>
      <c r="F187" s="544"/>
      <c r="G187" s="757"/>
      <c r="H187" s="269">
        <v>39.299999999999997</v>
      </c>
      <c r="I187" s="757">
        <v>0</v>
      </c>
      <c r="J187" s="245"/>
      <c r="K187" s="245"/>
      <c r="L187" s="245"/>
    </row>
    <row r="188" spans="1:12" s="184" customFormat="1" x14ac:dyDescent="0.25">
      <c r="A188" s="695" t="s">
        <v>1092</v>
      </c>
      <c r="B188" s="681" t="s">
        <v>133</v>
      </c>
      <c r="C188" s="245" t="s">
        <v>1531</v>
      </c>
      <c r="D188" s="269"/>
      <c r="E188" s="757"/>
      <c r="F188" s="544"/>
      <c r="G188" s="757"/>
      <c r="H188" s="269">
        <v>39.299999999999997</v>
      </c>
      <c r="I188" s="757">
        <v>3</v>
      </c>
      <c r="J188" s="245"/>
      <c r="K188" s="245"/>
      <c r="L188" s="245"/>
    </row>
    <row r="189" spans="1:12" s="184" customFormat="1" x14ac:dyDescent="0.25">
      <c r="A189" s="761" t="s">
        <v>309</v>
      </c>
      <c r="B189" s="681" t="s">
        <v>135</v>
      </c>
      <c r="C189" s="245" t="s">
        <v>1531</v>
      </c>
      <c r="D189" s="269"/>
      <c r="E189" s="757"/>
      <c r="F189" s="544"/>
      <c r="G189" s="757"/>
      <c r="H189" s="269">
        <v>1865.91</v>
      </c>
      <c r="I189" s="757">
        <v>2466</v>
      </c>
      <c r="J189" s="245"/>
      <c r="K189" s="245"/>
      <c r="L189" s="245"/>
    </row>
    <row r="190" spans="1:12" s="184" customFormat="1" x14ac:dyDescent="0.25">
      <c r="A190" s="761" t="s">
        <v>1091</v>
      </c>
      <c r="B190" s="681" t="s">
        <v>138</v>
      </c>
      <c r="C190" s="245" t="s">
        <v>1531</v>
      </c>
      <c r="D190" s="269"/>
      <c r="E190" s="757"/>
      <c r="F190" s="544"/>
      <c r="G190" s="757"/>
      <c r="H190" s="269">
        <v>39.299999999999997</v>
      </c>
      <c r="I190" s="757">
        <v>0</v>
      </c>
      <c r="J190" s="245"/>
      <c r="K190" s="245"/>
      <c r="L190" s="245"/>
    </row>
    <row r="191" spans="1:12" s="184" customFormat="1" x14ac:dyDescent="0.25">
      <c r="A191" s="695" t="s">
        <v>1090</v>
      </c>
      <c r="B191" s="681" t="s">
        <v>141</v>
      </c>
      <c r="C191" s="245" t="s">
        <v>1531</v>
      </c>
      <c r="D191" s="269"/>
      <c r="E191" s="757"/>
      <c r="F191" s="544"/>
      <c r="G191" s="757"/>
      <c r="H191" s="269">
        <v>39.299999999999997</v>
      </c>
      <c r="I191" s="757">
        <v>0</v>
      </c>
      <c r="J191" s="245"/>
      <c r="K191" s="245"/>
      <c r="L191" s="245"/>
    </row>
    <row r="192" spans="1:12" s="184" customFormat="1" x14ac:dyDescent="0.25">
      <c r="A192" s="695" t="s">
        <v>1089</v>
      </c>
      <c r="B192" s="681" t="s">
        <v>143</v>
      </c>
      <c r="C192" s="289" t="s">
        <v>1531</v>
      </c>
      <c r="D192" s="269"/>
      <c r="E192" s="757"/>
      <c r="F192" s="544"/>
      <c r="G192" s="757"/>
      <c r="H192" s="269">
        <v>39.299999999999997</v>
      </c>
      <c r="I192" s="757">
        <v>11</v>
      </c>
      <c r="J192" s="245"/>
      <c r="K192" s="245"/>
      <c r="L192" s="245"/>
    </row>
    <row r="193" spans="1:88" s="184" customFormat="1" x14ac:dyDescent="0.25">
      <c r="A193" s="695" t="s">
        <v>1088</v>
      </c>
      <c r="B193" s="681" t="s">
        <v>145</v>
      </c>
      <c r="C193" s="245" t="s">
        <v>1531</v>
      </c>
      <c r="D193" s="269"/>
      <c r="E193" s="757"/>
      <c r="F193" s="544"/>
      <c r="G193" s="757"/>
      <c r="H193" s="269">
        <v>150.16999999999999</v>
      </c>
      <c r="I193" s="757">
        <v>205</v>
      </c>
      <c r="J193" s="245"/>
      <c r="K193" s="245"/>
      <c r="L193" s="245"/>
    </row>
    <row r="194" spans="1:88" s="184" customFormat="1" x14ac:dyDescent="0.25">
      <c r="A194" s="695" t="s">
        <v>1086</v>
      </c>
      <c r="B194" s="681" t="s">
        <v>147</v>
      </c>
      <c r="C194" s="245" t="s">
        <v>1531</v>
      </c>
      <c r="D194" s="269"/>
      <c r="E194" s="757"/>
      <c r="F194" s="544"/>
      <c r="G194" s="757"/>
      <c r="H194" s="269">
        <v>95.65</v>
      </c>
      <c r="I194" s="757">
        <v>121</v>
      </c>
      <c r="J194" s="245"/>
      <c r="K194" s="245"/>
      <c r="L194" s="245"/>
    </row>
    <row r="195" spans="1:88" s="184" customFormat="1" x14ac:dyDescent="0.25">
      <c r="A195" s="695" t="s">
        <v>176</v>
      </c>
      <c r="B195" s="759" t="s">
        <v>165</v>
      </c>
      <c r="C195" s="245" t="s">
        <v>1529</v>
      </c>
      <c r="D195" s="269"/>
      <c r="E195" s="757"/>
      <c r="F195" s="544"/>
      <c r="G195" s="757"/>
      <c r="H195" s="269">
        <v>492.74</v>
      </c>
      <c r="I195" s="757">
        <v>671</v>
      </c>
      <c r="J195" s="245"/>
      <c r="K195" s="245"/>
      <c r="L195" s="245"/>
    </row>
    <row r="196" spans="1:88" s="199" customFormat="1" x14ac:dyDescent="0.25">
      <c r="A196" s="698" t="s">
        <v>433</v>
      </c>
      <c r="B196" s="690"/>
      <c r="C196" s="249"/>
      <c r="D196" s="250"/>
      <c r="E196" s="750"/>
      <c r="F196" s="543"/>
      <c r="G196" s="750"/>
      <c r="H196" s="250"/>
      <c r="I196" s="750"/>
      <c r="J196" s="249"/>
      <c r="K196" s="249"/>
      <c r="L196" s="249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88" s="184" customFormat="1" x14ac:dyDescent="0.25">
      <c r="A197" s="695" t="s">
        <v>107</v>
      </c>
      <c r="B197" s="681">
        <v>67</v>
      </c>
      <c r="C197" s="289"/>
      <c r="D197" s="269"/>
      <c r="E197" s="757"/>
      <c r="F197" s="544"/>
      <c r="G197" s="757"/>
      <c r="H197" s="269">
        <v>55</v>
      </c>
      <c r="I197" s="757">
        <v>102</v>
      </c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88" s="184" customFormat="1" x14ac:dyDescent="0.25">
      <c r="A198" s="695" t="s">
        <v>109</v>
      </c>
      <c r="B198" s="775">
        <v>95</v>
      </c>
      <c r="C198" s="245"/>
      <c r="D198" s="269"/>
      <c r="E198" s="757"/>
      <c r="F198" s="544"/>
      <c r="G198" s="757"/>
      <c r="H198" s="269">
        <v>148.80000000000001</v>
      </c>
      <c r="I198" s="757">
        <v>404</v>
      </c>
      <c r="J198" s="245"/>
      <c r="K198" s="245"/>
      <c r="L198" s="245"/>
    </row>
    <row r="199" spans="1:88" s="199" customFormat="1" x14ac:dyDescent="0.25">
      <c r="A199" s="694" t="s">
        <v>432</v>
      </c>
      <c r="B199" s="691"/>
      <c r="C199" s="249"/>
      <c r="D199" s="250"/>
      <c r="E199" s="750"/>
      <c r="F199" s="543"/>
      <c r="G199" s="750"/>
      <c r="H199" s="250"/>
      <c r="I199" s="750"/>
      <c r="J199" s="249"/>
      <c r="K199" s="249"/>
      <c r="L199" s="24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88" s="149" customFormat="1" x14ac:dyDescent="0.25">
      <c r="A200" s="695" t="s">
        <v>1137</v>
      </c>
      <c r="B200" s="759">
        <v>61</v>
      </c>
      <c r="C200" s="289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88" s="199" customFormat="1" x14ac:dyDescent="0.25">
      <c r="A201" s="698" t="s">
        <v>431</v>
      </c>
      <c r="B201" s="690"/>
      <c r="C201" s="249"/>
      <c r="D201" s="250"/>
      <c r="E201" s="750"/>
      <c r="F201" s="543"/>
      <c r="G201" s="750"/>
      <c r="H201" s="250"/>
      <c r="I201" s="750"/>
      <c r="J201" s="249"/>
      <c r="K201" s="249"/>
      <c r="L201" s="24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88" s="184" customFormat="1" ht="26.25" x14ac:dyDescent="0.25">
      <c r="A202" s="695" t="s">
        <v>40</v>
      </c>
      <c r="B202" s="759">
        <v>95</v>
      </c>
      <c r="C202" s="289" t="s">
        <v>1514</v>
      </c>
      <c r="D202" s="269"/>
      <c r="E202" s="757"/>
      <c r="F202" s="544"/>
      <c r="G202" s="757"/>
      <c r="H202" s="269">
        <v>35</v>
      </c>
      <c r="I202" s="757">
        <v>1600</v>
      </c>
      <c r="J202" s="245"/>
      <c r="K202" s="245"/>
      <c r="L202" s="245"/>
    </row>
    <row r="203" spans="1:88" s="199" customFormat="1" ht="26.25" x14ac:dyDescent="0.25">
      <c r="A203" s="698" t="s">
        <v>430</v>
      </c>
      <c r="B203" s="690" t="s">
        <v>356</v>
      </c>
      <c r="C203" s="303"/>
      <c r="D203" s="250"/>
      <c r="E203" s="750"/>
      <c r="F203" s="543"/>
      <c r="G203" s="750"/>
      <c r="H203" s="250"/>
      <c r="I203" s="750"/>
      <c r="J203" s="249"/>
      <c r="K203" s="249"/>
      <c r="L203" s="24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88" s="149" customFormat="1" x14ac:dyDescent="0.25">
      <c r="A204" s="695" t="s">
        <v>355</v>
      </c>
      <c r="B204" s="692"/>
      <c r="C204" s="289" t="s">
        <v>1534</v>
      </c>
      <c r="D204" s="269"/>
      <c r="E204" s="757"/>
      <c r="F204" s="544"/>
      <c r="G204" s="757"/>
      <c r="H204" s="269">
        <v>29.09</v>
      </c>
      <c r="I204" s="757">
        <v>40710</v>
      </c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</row>
    <row r="205" spans="1:88" s="359" customFormat="1" ht="46.5" customHeight="1" x14ac:dyDescent="0.25">
      <c r="A205" s="715"/>
      <c r="B205" s="715"/>
      <c r="C205" s="355"/>
      <c r="D205" s="356"/>
      <c r="E205" s="758"/>
      <c r="F205" s="717"/>
      <c r="G205" s="758"/>
      <c r="H205" s="356"/>
      <c r="I205" s="758"/>
      <c r="J205" s="718"/>
      <c r="K205" s="355"/>
      <c r="L205" s="355"/>
    </row>
    <row r="206" spans="1:88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88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88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  <row r="263" spans="1:36" s="184" customFormat="1" x14ac:dyDescent="0.25">
      <c r="A263" s="692"/>
      <c r="B263" s="692"/>
      <c r="C263" s="245"/>
      <c r="D263" s="269"/>
      <c r="E263" s="757"/>
      <c r="F263" s="544"/>
      <c r="G263" s="757"/>
      <c r="H263" s="269"/>
      <c r="I263" s="757"/>
      <c r="J263" s="245"/>
      <c r="K263" s="245"/>
      <c r="L263" s="245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</row>
    <row r="264" spans="1:36" s="184" customFormat="1" x14ac:dyDescent="0.25">
      <c r="A264" s="692"/>
      <c r="B264" s="692"/>
      <c r="C264" s="245"/>
      <c r="D264" s="269"/>
      <c r="E264" s="757"/>
      <c r="F264" s="544"/>
      <c r="G264" s="757"/>
      <c r="H264" s="269"/>
      <c r="I264" s="757"/>
      <c r="J264" s="245"/>
      <c r="K264" s="245"/>
      <c r="L264" s="245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</row>
    <row r="265" spans="1:36" s="184" customFormat="1" x14ac:dyDescent="0.25">
      <c r="A265" s="692"/>
      <c r="B265" s="692"/>
      <c r="C265" s="245"/>
      <c r="D265" s="269"/>
      <c r="E265" s="757"/>
      <c r="F265" s="544"/>
      <c r="G265" s="757"/>
      <c r="H265" s="269"/>
      <c r="I265" s="757"/>
      <c r="J265" s="245"/>
      <c r="K265" s="245"/>
      <c r="L265" s="24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</row>
    <row r="266" spans="1:36" s="184" customFormat="1" x14ac:dyDescent="0.25">
      <c r="A266" s="692"/>
      <c r="B266" s="692"/>
      <c r="C266" s="245"/>
      <c r="D266" s="269"/>
      <c r="E266" s="757"/>
      <c r="F266" s="544"/>
      <c r="G266" s="757"/>
      <c r="H266" s="269"/>
      <c r="I266" s="757"/>
      <c r="J266" s="245"/>
      <c r="K266" s="245"/>
      <c r="L266" s="245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</row>
    <row r="267" spans="1:36" s="184" customFormat="1" x14ac:dyDescent="0.25">
      <c r="A267" s="692"/>
      <c r="B267" s="692"/>
      <c r="C267" s="245"/>
      <c r="D267" s="269"/>
      <c r="E267" s="757"/>
      <c r="F267" s="544"/>
      <c r="G267" s="757"/>
      <c r="H267" s="269"/>
      <c r="I267" s="757"/>
      <c r="J267" s="245"/>
      <c r="K267" s="245"/>
      <c r="L267" s="245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</row>
    <row r="268" spans="1:36" s="184" customFormat="1" x14ac:dyDescent="0.25">
      <c r="A268" s="692"/>
      <c r="B268" s="692"/>
      <c r="C268" s="245"/>
      <c r="D268" s="269"/>
      <c r="E268" s="757"/>
      <c r="F268" s="544"/>
      <c r="G268" s="757"/>
      <c r="H268" s="269"/>
      <c r="I268" s="757"/>
      <c r="J268" s="245"/>
      <c r="K268" s="245"/>
      <c r="L268" s="245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</row>
    <row r="269" spans="1:36" s="184" customFormat="1" x14ac:dyDescent="0.25">
      <c r="A269" s="692"/>
      <c r="B269" s="692"/>
      <c r="C269" s="245"/>
      <c r="D269" s="269"/>
      <c r="E269" s="757"/>
      <c r="F269" s="544"/>
      <c r="G269" s="757"/>
      <c r="H269" s="269"/>
      <c r="I269" s="757"/>
      <c r="J269" s="245"/>
      <c r="K269" s="245"/>
      <c r="L269" s="245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</row>
    <row r="270" spans="1:36" s="184" customFormat="1" x14ac:dyDescent="0.25">
      <c r="A270" s="692"/>
      <c r="B270" s="692"/>
      <c r="C270" s="245"/>
      <c r="D270" s="269"/>
      <c r="E270" s="757"/>
      <c r="F270" s="544"/>
      <c r="G270" s="757"/>
      <c r="H270" s="269"/>
      <c r="I270" s="757"/>
      <c r="J270" s="245"/>
      <c r="K270" s="245"/>
      <c r="L270" s="245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</row>
    <row r="271" spans="1:36" s="184" customFormat="1" x14ac:dyDescent="0.25">
      <c r="A271" s="692"/>
      <c r="B271" s="692"/>
      <c r="C271" s="245"/>
      <c r="D271" s="269"/>
      <c r="E271" s="757"/>
      <c r="F271" s="544"/>
      <c r="G271" s="757"/>
      <c r="H271" s="269"/>
      <c r="I271" s="757"/>
      <c r="J271" s="245"/>
      <c r="K271" s="245"/>
      <c r="L271" s="245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</row>
    <row r="272" spans="1:36" s="184" customFormat="1" x14ac:dyDescent="0.25">
      <c r="A272" s="692"/>
      <c r="B272" s="692"/>
      <c r="C272" s="245"/>
      <c r="D272" s="269"/>
      <c r="E272" s="757"/>
      <c r="F272" s="544"/>
      <c r="G272" s="757"/>
      <c r="H272" s="269"/>
      <c r="I272" s="757"/>
      <c r="J272" s="245"/>
      <c r="K272" s="245"/>
      <c r="L272" s="245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</row>
    <row r="273" spans="1:36" s="184" customFormat="1" x14ac:dyDescent="0.25">
      <c r="A273" s="692"/>
      <c r="B273" s="692"/>
      <c r="C273" s="245"/>
      <c r="D273" s="269"/>
      <c r="E273" s="757"/>
      <c r="F273" s="544"/>
      <c r="G273" s="757"/>
      <c r="H273" s="269"/>
      <c r="I273" s="757"/>
      <c r="J273" s="245"/>
      <c r="K273" s="245"/>
      <c r="L273" s="245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</row>
    <row r="274" spans="1:36" s="184" customFormat="1" x14ac:dyDescent="0.25">
      <c r="A274" s="692"/>
      <c r="B274" s="692"/>
      <c r="C274" s="245"/>
      <c r="D274" s="269"/>
      <c r="E274" s="757"/>
      <c r="F274" s="544"/>
      <c r="G274" s="757"/>
      <c r="H274" s="269"/>
      <c r="I274" s="757"/>
      <c r="J274" s="245"/>
      <c r="K274" s="245"/>
      <c r="L274" s="245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</row>
    <row r="275" spans="1:36" s="184" customFormat="1" x14ac:dyDescent="0.25">
      <c r="A275" s="692"/>
      <c r="B275" s="692"/>
      <c r="C275" s="245"/>
      <c r="D275" s="269"/>
      <c r="E275" s="757"/>
      <c r="F275" s="544"/>
      <c r="G275" s="757"/>
      <c r="H275" s="269"/>
      <c r="I275" s="757"/>
      <c r="J275" s="245"/>
      <c r="K275" s="245"/>
      <c r="L275" s="24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</row>
    <row r="276" spans="1:36" s="184" customFormat="1" x14ac:dyDescent="0.25">
      <c r="A276" s="692"/>
      <c r="B276" s="692"/>
      <c r="C276" s="245"/>
      <c r="D276" s="269"/>
      <c r="E276" s="757"/>
      <c r="F276" s="544"/>
      <c r="G276" s="757"/>
      <c r="H276" s="269"/>
      <c r="I276" s="757"/>
      <c r="J276" s="245"/>
      <c r="K276" s="245"/>
      <c r="L276" s="245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</row>
    <row r="277" spans="1:36" s="184" customFormat="1" x14ac:dyDescent="0.25">
      <c r="A277" s="692"/>
      <c r="B277" s="692"/>
      <c r="C277" s="245"/>
      <c r="D277" s="269"/>
      <c r="E277" s="757"/>
      <c r="F277" s="544"/>
      <c r="G277" s="757"/>
      <c r="H277" s="269"/>
      <c r="I277" s="757"/>
      <c r="J277" s="245"/>
      <c r="K277" s="245"/>
      <c r="L277" s="245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</row>
    <row r="278" spans="1:36" s="184" customFormat="1" x14ac:dyDescent="0.25">
      <c r="A278" s="692"/>
      <c r="B278" s="692"/>
      <c r="C278" s="245"/>
      <c r="D278" s="269"/>
      <c r="E278" s="757"/>
      <c r="F278" s="544"/>
      <c r="G278" s="757"/>
      <c r="H278" s="269"/>
      <c r="I278" s="757"/>
      <c r="J278" s="245"/>
      <c r="K278" s="245"/>
      <c r="L278" s="245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</row>
    <row r="279" spans="1:36" s="184" customFormat="1" x14ac:dyDescent="0.25">
      <c r="A279" s="692"/>
      <c r="B279" s="692"/>
      <c r="C279" s="245"/>
      <c r="D279" s="269"/>
      <c r="E279" s="757"/>
      <c r="F279" s="544"/>
      <c r="G279" s="757"/>
      <c r="H279" s="269"/>
      <c r="I279" s="757"/>
      <c r="J279" s="245"/>
      <c r="K279" s="245"/>
      <c r="L279" s="245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</row>
    <row r="280" spans="1:36" s="184" customFormat="1" x14ac:dyDescent="0.25">
      <c r="A280" s="692"/>
      <c r="B280" s="692"/>
      <c r="C280" s="245"/>
      <c r="D280" s="269"/>
      <c r="E280" s="757"/>
      <c r="F280" s="544"/>
      <c r="G280" s="757"/>
      <c r="H280" s="269"/>
      <c r="I280" s="757"/>
      <c r="J280" s="245"/>
      <c r="K280" s="245"/>
      <c r="L280" s="245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</row>
    <row r="281" spans="1:36" s="184" customFormat="1" x14ac:dyDescent="0.25">
      <c r="A281" s="692"/>
      <c r="B281" s="692"/>
      <c r="C281" s="245"/>
      <c r="D281" s="269"/>
      <c r="E281" s="757"/>
      <c r="F281" s="544"/>
      <c r="G281" s="757"/>
      <c r="H281" s="269"/>
      <c r="I281" s="757"/>
      <c r="J281" s="245"/>
      <c r="K281" s="245"/>
      <c r="L281" s="245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</row>
    <row r="282" spans="1:36" s="184" customFormat="1" x14ac:dyDescent="0.25">
      <c r="A282" s="692"/>
      <c r="B282" s="692"/>
      <c r="C282" s="245"/>
      <c r="D282" s="269"/>
      <c r="E282" s="757"/>
      <c r="F282" s="544"/>
      <c r="G282" s="757"/>
      <c r="H282" s="269"/>
      <c r="I282" s="757"/>
      <c r="J282" s="245"/>
      <c r="K282" s="245"/>
      <c r="L282" s="245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</row>
    <row r="283" spans="1:36" s="184" customFormat="1" x14ac:dyDescent="0.25">
      <c r="A283" s="692"/>
      <c r="B283" s="692"/>
      <c r="C283" s="245"/>
      <c r="D283" s="269"/>
      <c r="E283" s="757"/>
      <c r="F283" s="544"/>
      <c r="G283" s="757"/>
      <c r="H283" s="269"/>
      <c r="I283" s="757"/>
      <c r="J283" s="245"/>
      <c r="K283" s="245"/>
      <c r="L283" s="245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</row>
    <row r="284" spans="1:36" s="184" customFormat="1" x14ac:dyDescent="0.25">
      <c r="A284" s="692"/>
      <c r="B284" s="692"/>
      <c r="C284" s="245"/>
      <c r="D284" s="269"/>
      <c r="E284" s="757"/>
      <c r="F284" s="544"/>
      <c r="G284" s="757"/>
      <c r="H284" s="269"/>
      <c r="I284" s="757"/>
      <c r="J284" s="245"/>
      <c r="K284" s="245"/>
      <c r="L284" s="245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</row>
    <row r="285" spans="1:36" s="184" customFormat="1" x14ac:dyDescent="0.25">
      <c r="A285" s="692"/>
      <c r="B285" s="692"/>
      <c r="C285" s="245"/>
      <c r="D285" s="269"/>
      <c r="E285" s="757"/>
      <c r="F285" s="544"/>
      <c r="G285" s="757"/>
      <c r="H285" s="269"/>
      <c r="I285" s="757"/>
      <c r="J285" s="245"/>
      <c r="K285" s="245"/>
      <c r="L285" s="24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</row>
    <row r="286" spans="1:36" s="184" customFormat="1" x14ac:dyDescent="0.25">
      <c r="A286" s="692"/>
      <c r="B286" s="692"/>
      <c r="C286" s="245"/>
      <c r="D286" s="269"/>
      <c r="E286" s="757"/>
      <c r="F286" s="544"/>
      <c r="G286" s="757"/>
      <c r="H286" s="269"/>
      <c r="I286" s="757"/>
      <c r="J286" s="245"/>
      <c r="K286" s="245"/>
      <c r="L286" s="245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</row>
    <row r="287" spans="1:36" s="184" customFormat="1" x14ac:dyDescent="0.25">
      <c r="A287" s="692"/>
      <c r="B287" s="692"/>
      <c r="C287" s="245"/>
      <c r="D287" s="269"/>
      <c r="E287" s="757"/>
      <c r="F287" s="544"/>
      <c r="G287" s="757"/>
      <c r="H287" s="269"/>
      <c r="I287" s="757"/>
      <c r="J287" s="245"/>
      <c r="K287" s="245"/>
      <c r="L287" s="245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</row>
    <row r="288" spans="1:36" s="184" customFormat="1" x14ac:dyDescent="0.25">
      <c r="A288" s="692"/>
      <c r="B288" s="692"/>
      <c r="C288" s="245"/>
      <c r="D288" s="269"/>
      <c r="E288" s="757"/>
      <c r="F288" s="544"/>
      <c r="G288" s="757"/>
      <c r="H288" s="269"/>
      <c r="I288" s="757"/>
      <c r="J288" s="245"/>
      <c r="K288" s="245"/>
      <c r="L288" s="245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</row>
    <row r="289" spans="1:36" s="184" customFormat="1" x14ac:dyDescent="0.25">
      <c r="A289" s="692"/>
      <c r="B289" s="692"/>
      <c r="C289" s="245"/>
      <c r="D289" s="269"/>
      <c r="E289" s="757"/>
      <c r="F289" s="544"/>
      <c r="G289" s="757"/>
      <c r="H289" s="269"/>
      <c r="I289" s="757"/>
      <c r="J289" s="245"/>
      <c r="K289" s="245"/>
      <c r="L289" s="245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</row>
    <row r="290" spans="1:36" s="184" customFormat="1" x14ac:dyDescent="0.25">
      <c r="A290" s="692"/>
      <c r="B290" s="692"/>
      <c r="C290" s="245"/>
      <c r="D290" s="269"/>
      <c r="E290" s="757"/>
      <c r="F290" s="544"/>
      <c r="G290" s="757"/>
      <c r="H290" s="269"/>
      <c r="I290" s="757"/>
      <c r="J290" s="245"/>
      <c r="K290" s="245"/>
      <c r="L290" s="245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</row>
    <row r="291" spans="1:36" s="184" customFormat="1" x14ac:dyDescent="0.25">
      <c r="A291" s="692"/>
      <c r="B291" s="692"/>
      <c r="C291" s="245"/>
      <c r="D291" s="269"/>
      <c r="E291" s="757"/>
      <c r="F291" s="544"/>
      <c r="G291" s="757"/>
      <c r="H291" s="269"/>
      <c r="I291" s="757"/>
      <c r="J291" s="245"/>
      <c r="K291" s="245"/>
      <c r="L291" s="245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</row>
    <row r="292" spans="1:36" s="184" customFormat="1" x14ac:dyDescent="0.25">
      <c r="A292" s="692"/>
      <c r="B292" s="692"/>
      <c r="C292" s="245"/>
      <c r="D292" s="269"/>
      <c r="E292" s="757"/>
      <c r="F292" s="544"/>
      <c r="G292" s="757"/>
      <c r="H292" s="269"/>
      <c r="I292" s="757"/>
      <c r="J292" s="245"/>
      <c r="K292" s="245"/>
      <c r="L292" s="245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</row>
    <row r="293" spans="1:36" s="184" customFormat="1" x14ac:dyDescent="0.25">
      <c r="A293" s="692"/>
      <c r="B293" s="692"/>
      <c r="C293" s="245"/>
      <c r="D293" s="269"/>
      <c r="E293" s="757"/>
      <c r="F293" s="544"/>
      <c r="G293" s="757"/>
      <c r="H293" s="269"/>
      <c r="I293" s="757"/>
      <c r="J293" s="245"/>
      <c r="K293" s="245"/>
      <c r="L293" s="245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</row>
    <row r="294" spans="1:36" s="184" customFormat="1" x14ac:dyDescent="0.25">
      <c r="A294" s="692"/>
      <c r="B294" s="692"/>
      <c r="C294" s="245"/>
      <c r="D294" s="269"/>
      <c r="E294" s="757"/>
      <c r="F294" s="544"/>
      <c r="G294" s="757"/>
      <c r="H294" s="269"/>
      <c r="I294" s="757"/>
      <c r="J294" s="245"/>
      <c r="K294" s="245"/>
      <c r="L294" s="245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</row>
    <row r="295" spans="1:36" s="184" customFormat="1" x14ac:dyDescent="0.25">
      <c r="A295" s="692"/>
      <c r="B295" s="692"/>
      <c r="C295" s="245"/>
      <c r="D295" s="269"/>
      <c r="E295" s="757"/>
      <c r="F295" s="544"/>
      <c r="G295" s="757"/>
      <c r="H295" s="269"/>
      <c r="I295" s="757"/>
      <c r="J295" s="245"/>
      <c r="K295" s="245"/>
      <c r="L295" s="24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</row>
    <row r="296" spans="1:36" s="184" customFormat="1" x14ac:dyDescent="0.25">
      <c r="A296" s="692"/>
      <c r="B296" s="692"/>
      <c r="C296" s="245"/>
      <c r="D296" s="269"/>
      <c r="E296" s="757"/>
      <c r="F296" s="544"/>
      <c r="G296" s="757"/>
      <c r="H296" s="269"/>
      <c r="I296" s="757"/>
      <c r="J296" s="245"/>
      <c r="K296" s="245"/>
      <c r="L296" s="245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</row>
    <row r="297" spans="1:36" s="184" customFormat="1" x14ac:dyDescent="0.25">
      <c r="A297" s="692"/>
      <c r="B297" s="692"/>
      <c r="C297" s="245"/>
      <c r="D297" s="269"/>
      <c r="E297" s="757"/>
      <c r="F297" s="544"/>
      <c r="G297" s="757"/>
      <c r="H297" s="269"/>
      <c r="I297" s="757"/>
      <c r="J297" s="245"/>
      <c r="K297" s="245"/>
      <c r="L297" s="245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</row>
    <row r="298" spans="1:36" s="184" customFormat="1" x14ac:dyDescent="0.25">
      <c r="A298" s="692"/>
      <c r="B298" s="692"/>
      <c r="C298" s="245"/>
      <c r="D298" s="269"/>
      <c r="E298" s="757"/>
      <c r="F298" s="544"/>
      <c r="G298" s="757"/>
      <c r="H298" s="269"/>
      <c r="I298" s="757"/>
      <c r="J298" s="245"/>
      <c r="K298" s="245"/>
      <c r="L298" s="245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</row>
    <row r="299" spans="1:36" s="184" customFormat="1" x14ac:dyDescent="0.25">
      <c r="A299" s="692"/>
      <c r="B299" s="692"/>
      <c r="C299" s="245"/>
      <c r="D299" s="269"/>
      <c r="E299" s="757"/>
      <c r="F299" s="544"/>
      <c r="G299" s="757"/>
      <c r="H299" s="269"/>
      <c r="I299" s="757"/>
      <c r="J299" s="245"/>
      <c r="K299" s="245"/>
      <c r="L299" s="245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</row>
    <row r="300" spans="1:36" s="184" customFormat="1" x14ac:dyDescent="0.25">
      <c r="A300" s="692"/>
      <c r="B300" s="692"/>
      <c r="C300" s="245"/>
      <c r="D300" s="269"/>
      <c r="E300" s="757"/>
      <c r="F300" s="544"/>
      <c r="G300" s="757"/>
      <c r="H300" s="269"/>
      <c r="I300" s="757"/>
      <c r="J300" s="245"/>
      <c r="K300" s="245"/>
      <c r="L300" s="245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</row>
    <row r="301" spans="1:36" s="184" customFormat="1" x14ac:dyDescent="0.25">
      <c r="A301" s="692"/>
      <c r="B301" s="692"/>
      <c r="C301" s="245"/>
      <c r="D301" s="269"/>
      <c r="E301" s="757"/>
      <c r="F301" s="544"/>
      <c r="G301" s="757"/>
      <c r="H301" s="269"/>
      <c r="I301" s="757"/>
      <c r="J301" s="245"/>
      <c r="K301" s="245"/>
      <c r="L301" s="245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</row>
    <row r="302" spans="1:36" s="184" customFormat="1" x14ac:dyDescent="0.25">
      <c r="A302" s="692"/>
      <c r="B302" s="692"/>
      <c r="C302" s="245"/>
      <c r="D302" s="269"/>
      <c r="E302" s="757"/>
      <c r="F302" s="544"/>
      <c r="G302" s="757"/>
      <c r="H302" s="269"/>
      <c r="I302" s="757"/>
      <c r="J302" s="245"/>
      <c r="K302" s="245"/>
      <c r="L302" s="245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</row>
    <row r="303" spans="1:36" s="184" customFormat="1" x14ac:dyDescent="0.25">
      <c r="A303" s="692"/>
      <c r="B303" s="692"/>
      <c r="C303" s="245"/>
      <c r="D303" s="269"/>
      <c r="E303" s="757"/>
      <c r="F303" s="544"/>
      <c r="G303" s="757"/>
      <c r="H303" s="269"/>
      <c r="I303" s="757"/>
      <c r="J303" s="245"/>
      <c r="K303" s="245"/>
      <c r="L303" s="245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9"/>
      <c r="Y303" s="359"/>
      <c r="Z303" s="359"/>
      <c r="AA303" s="359"/>
      <c r="AB303" s="359"/>
      <c r="AC303" s="359"/>
      <c r="AD303" s="359"/>
      <c r="AE303" s="359"/>
      <c r="AF303" s="359"/>
      <c r="AG303" s="359"/>
      <c r="AH303" s="359"/>
      <c r="AI303" s="359"/>
      <c r="AJ303" s="359"/>
    </row>
    <row r="304" spans="1:36" s="184" customFormat="1" x14ac:dyDescent="0.25">
      <c r="A304" s="692"/>
      <c r="B304" s="692"/>
      <c r="C304" s="245"/>
      <c r="D304" s="269"/>
      <c r="E304" s="757"/>
      <c r="F304" s="544"/>
      <c r="G304" s="757"/>
      <c r="H304" s="269"/>
      <c r="I304" s="757"/>
      <c r="J304" s="245"/>
      <c r="K304" s="245"/>
      <c r="L304" s="245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9"/>
      <c r="Y304" s="359"/>
      <c r="Z304" s="359"/>
      <c r="AA304" s="359"/>
      <c r="AB304" s="359"/>
      <c r="AC304" s="359"/>
      <c r="AD304" s="359"/>
      <c r="AE304" s="359"/>
      <c r="AF304" s="359"/>
      <c r="AG304" s="359"/>
      <c r="AH304" s="359"/>
      <c r="AI304" s="359"/>
      <c r="AJ304" s="359"/>
    </row>
    <row r="305" spans="1:36" s="184" customFormat="1" x14ac:dyDescent="0.25">
      <c r="A305" s="692"/>
      <c r="B305" s="692"/>
      <c r="C305" s="245"/>
      <c r="D305" s="269"/>
      <c r="E305" s="757"/>
      <c r="F305" s="544"/>
      <c r="G305" s="757"/>
      <c r="H305" s="269"/>
      <c r="I305" s="757"/>
      <c r="J305" s="245"/>
      <c r="K305" s="245"/>
      <c r="L305" s="245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9"/>
      <c r="Y305" s="359"/>
      <c r="Z305" s="359"/>
      <c r="AA305" s="359"/>
      <c r="AB305" s="359"/>
      <c r="AC305" s="359"/>
      <c r="AD305" s="359"/>
      <c r="AE305" s="359"/>
      <c r="AF305" s="359"/>
      <c r="AG305" s="359"/>
      <c r="AH305" s="359"/>
      <c r="AI305" s="359"/>
      <c r="AJ305" s="359"/>
    </row>
    <row r="306" spans="1:36" s="184" customFormat="1" x14ac:dyDescent="0.25">
      <c r="A306" s="692"/>
      <c r="B306" s="692"/>
      <c r="C306" s="245"/>
      <c r="D306" s="269"/>
      <c r="E306" s="757"/>
      <c r="F306" s="544"/>
      <c r="G306" s="757"/>
      <c r="H306" s="269"/>
      <c r="I306" s="757"/>
      <c r="J306" s="245"/>
      <c r="K306" s="245"/>
      <c r="L306" s="245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9"/>
      <c r="Y306" s="359"/>
      <c r="Z306" s="359"/>
      <c r="AA306" s="359"/>
      <c r="AB306" s="359"/>
      <c r="AC306" s="359"/>
      <c r="AD306" s="359"/>
      <c r="AE306" s="359"/>
      <c r="AF306" s="359"/>
      <c r="AG306" s="359"/>
      <c r="AH306" s="359"/>
      <c r="AI306" s="359"/>
      <c r="AJ306" s="359"/>
    </row>
    <row r="307" spans="1:36" s="184" customFormat="1" x14ac:dyDescent="0.25">
      <c r="A307" s="692"/>
      <c r="B307" s="692"/>
      <c r="C307" s="245"/>
      <c r="D307" s="269"/>
      <c r="E307" s="757"/>
      <c r="F307" s="544"/>
      <c r="G307" s="757"/>
      <c r="H307" s="269"/>
      <c r="I307" s="757"/>
      <c r="J307" s="245"/>
      <c r="K307" s="245"/>
      <c r="L307" s="245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 s="359"/>
      <c r="AI307" s="359"/>
      <c r="AJ307" s="359"/>
    </row>
    <row r="308" spans="1:36" s="184" customFormat="1" x14ac:dyDescent="0.25">
      <c r="A308" s="692"/>
      <c r="B308" s="692"/>
      <c r="C308" s="245"/>
      <c r="D308" s="269"/>
      <c r="E308" s="757"/>
      <c r="F308" s="544"/>
      <c r="G308" s="757"/>
      <c r="H308" s="269"/>
      <c r="I308" s="757"/>
      <c r="J308" s="245"/>
      <c r="K308" s="245"/>
      <c r="L308" s="245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9"/>
      <c r="Y308" s="359"/>
      <c r="Z308" s="359"/>
      <c r="AA308" s="359"/>
      <c r="AB308" s="359"/>
      <c r="AC308" s="359"/>
      <c r="AD308" s="359"/>
      <c r="AE308" s="359"/>
      <c r="AF308" s="359"/>
      <c r="AG308" s="359"/>
      <c r="AH308" s="359"/>
      <c r="AI308" s="359"/>
      <c r="AJ308" s="359"/>
    </row>
    <row r="309" spans="1:36" s="184" customFormat="1" x14ac:dyDescent="0.25">
      <c r="A309" s="692"/>
      <c r="B309" s="692"/>
      <c r="C309" s="245"/>
      <c r="D309" s="269"/>
      <c r="E309" s="757"/>
      <c r="F309" s="544"/>
      <c r="G309" s="757"/>
      <c r="H309" s="269"/>
      <c r="I309" s="757"/>
      <c r="J309" s="245"/>
      <c r="K309" s="245"/>
      <c r="L309" s="245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9"/>
      <c r="Y309" s="359"/>
      <c r="Z309" s="359"/>
      <c r="AA309" s="359"/>
      <c r="AB309" s="359"/>
      <c r="AC309" s="359"/>
      <c r="AD309" s="359"/>
      <c r="AE309" s="359"/>
      <c r="AF309" s="359"/>
      <c r="AG309" s="359"/>
      <c r="AH309" s="359"/>
      <c r="AI309" s="359"/>
      <c r="AJ309" s="359"/>
    </row>
    <row r="310" spans="1:36" s="184" customFormat="1" x14ac:dyDescent="0.25">
      <c r="A310" s="692"/>
      <c r="B310" s="692"/>
      <c r="C310" s="245"/>
      <c r="D310" s="269"/>
      <c r="E310" s="757"/>
      <c r="F310" s="544"/>
      <c r="G310" s="757"/>
      <c r="H310" s="269"/>
      <c r="I310" s="757"/>
      <c r="J310" s="245"/>
      <c r="K310" s="245"/>
      <c r="L310" s="245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9"/>
      <c r="Y310" s="359"/>
      <c r="Z310" s="359"/>
      <c r="AA310" s="359"/>
      <c r="AB310" s="359"/>
      <c r="AC310" s="359"/>
      <c r="AD310" s="359"/>
      <c r="AE310" s="359"/>
      <c r="AF310" s="359"/>
      <c r="AG310" s="359"/>
      <c r="AH310" s="359"/>
      <c r="AI310" s="359"/>
      <c r="AJ310" s="359"/>
    </row>
    <row r="311" spans="1:36" s="184" customFormat="1" x14ac:dyDescent="0.25">
      <c r="A311" s="692"/>
      <c r="B311" s="692"/>
      <c r="C311" s="245"/>
      <c r="D311" s="269"/>
      <c r="E311" s="757"/>
      <c r="F311" s="544"/>
      <c r="G311" s="757"/>
      <c r="H311" s="269"/>
      <c r="I311" s="757"/>
      <c r="J311" s="245"/>
      <c r="K311" s="245"/>
      <c r="L311" s="245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359"/>
      <c r="AC311" s="359"/>
      <c r="AD311" s="359"/>
      <c r="AE311" s="359"/>
      <c r="AF311" s="359"/>
      <c r="AG311" s="359"/>
      <c r="AH311" s="359"/>
      <c r="AI311" s="359"/>
      <c r="AJ311" s="359"/>
    </row>
    <row r="312" spans="1:36" s="184" customFormat="1" x14ac:dyDescent="0.25">
      <c r="A312" s="692"/>
      <c r="B312" s="692"/>
      <c r="C312" s="245"/>
      <c r="D312" s="269"/>
      <c r="E312" s="757"/>
      <c r="F312" s="544"/>
      <c r="G312" s="757"/>
      <c r="H312" s="269"/>
      <c r="I312" s="757"/>
      <c r="J312" s="245"/>
      <c r="K312" s="245"/>
      <c r="L312" s="245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359"/>
      <c r="AC312" s="359"/>
      <c r="AD312" s="359"/>
      <c r="AE312" s="359"/>
      <c r="AF312" s="359"/>
      <c r="AG312" s="359"/>
      <c r="AH312" s="359"/>
      <c r="AI312" s="359"/>
      <c r="AJ312" s="359"/>
    </row>
    <row r="313" spans="1:36" s="184" customFormat="1" x14ac:dyDescent="0.25">
      <c r="A313" s="692"/>
      <c r="B313" s="692"/>
      <c r="C313" s="245"/>
      <c r="D313" s="269"/>
      <c r="E313" s="757"/>
      <c r="F313" s="544"/>
      <c r="G313" s="757"/>
      <c r="H313" s="269"/>
      <c r="I313" s="757"/>
      <c r="J313" s="245"/>
      <c r="K313" s="245"/>
      <c r="L313" s="245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359"/>
      <c r="AC313" s="359"/>
      <c r="AD313" s="359"/>
      <c r="AE313" s="359"/>
      <c r="AF313" s="359"/>
      <c r="AG313" s="359"/>
      <c r="AH313" s="359"/>
      <c r="AI313" s="359"/>
      <c r="AJ313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7" sqref="E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1518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52"/>
      <c r="B4" s="853"/>
      <c r="C4" s="853"/>
      <c r="D4" s="853"/>
      <c r="E4" s="853"/>
      <c r="F4" s="853"/>
      <c r="G4" s="85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20877.41</v>
      </c>
      <c r="D13" s="34"/>
      <c r="E13" s="35" t="s">
        <v>33</v>
      </c>
      <c r="F13" s="34"/>
      <c r="G13" s="42">
        <v>39939.74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7683</v>
      </c>
      <c r="D15" s="34"/>
      <c r="E15" s="35" t="s">
        <v>10</v>
      </c>
      <c r="F15" s="34"/>
      <c r="G15" s="42">
        <v>4530.24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138745</v>
      </c>
      <c r="D17" s="34"/>
      <c r="E17" s="35" t="s">
        <v>278</v>
      </c>
      <c r="F17" s="34"/>
      <c r="G17" s="42">
        <v>6071.46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08" activePane="bottomLeft" state="frozen"/>
      <selection pane="bottomLeft" activeCell="A96" sqref="A9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9.710937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/>
      <c r="B3" s="762">
        <v>3038136345</v>
      </c>
      <c r="C3" s="848" t="s">
        <v>1496</v>
      </c>
      <c r="D3" s="328"/>
      <c r="E3" s="763"/>
      <c r="F3" s="620">
        <v>1472.55</v>
      </c>
      <c r="G3" s="763">
        <v>2889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1497</v>
      </c>
      <c r="D4" s="269"/>
      <c r="E4" s="757"/>
      <c r="F4" s="544">
        <v>331.02</v>
      </c>
      <c r="G4" s="757">
        <v>569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1500</v>
      </c>
      <c r="D5" s="328"/>
      <c r="E5" s="763"/>
      <c r="F5" s="620">
        <v>267.44</v>
      </c>
      <c r="G5" s="763">
        <v>443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1495</v>
      </c>
      <c r="D6" s="269"/>
      <c r="E6" s="757"/>
      <c r="F6" s="544">
        <v>128.22</v>
      </c>
      <c r="G6" s="757">
        <v>159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1511</v>
      </c>
      <c r="D7" s="269"/>
      <c r="E7" s="757"/>
      <c r="F7" s="544">
        <v>141.06</v>
      </c>
      <c r="G7" s="757">
        <v>181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1511</v>
      </c>
      <c r="D8" s="269"/>
      <c r="E8" s="757"/>
      <c r="F8" s="544">
        <v>134.41999999999999</v>
      </c>
      <c r="G8" s="757">
        <v>168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1511</v>
      </c>
      <c r="D9" s="269"/>
      <c r="E9" s="757"/>
      <c r="F9" s="544">
        <v>224.77</v>
      </c>
      <c r="G9" s="757">
        <v>690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1511</v>
      </c>
      <c r="D10" s="269"/>
      <c r="E10" s="757"/>
      <c r="F10" s="544">
        <v>257.14999999999998</v>
      </c>
      <c r="G10" s="757">
        <v>199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1496</v>
      </c>
      <c r="D11" s="269"/>
      <c r="E11" s="757"/>
      <c r="F11" s="544">
        <v>54.03</v>
      </c>
      <c r="G11" s="757">
        <v>1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78.69</v>
      </c>
      <c r="G12" s="757">
        <v>55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1497</v>
      </c>
      <c r="D13" s="269"/>
      <c r="E13" s="757"/>
      <c r="F13" s="544">
        <v>52.87</v>
      </c>
      <c r="G13" s="757">
        <v>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1497</v>
      </c>
      <c r="D14" s="269"/>
      <c r="E14" s="757"/>
      <c r="F14" s="544">
        <v>655.69</v>
      </c>
      <c r="G14" s="757">
        <v>1225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1495</v>
      </c>
      <c r="D15" s="269"/>
      <c r="E15" s="757"/>
      <c r="F15" s="544">
        <v>114.82</v>
      </c>
      <c r="G15" s="757">
        <v>132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1495</v>
      </c>
      <c r="D16" s="269"/>
      <c r="E16" s="757"/>
      <c r="F16" s="544">
        <v>390.91</v>
      </c>
      <c r="G16" s="757">
        <v>690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1502</v>
      </c>
      <c r="D17" s="269"/>
      <c r="E17" s="757"/>
      <c r="F17" s="544">
        <v>83.97</v>
      </c>
      <c r="G17" s="757">
        <v>93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1502</v>
      </c>
      <c r="D18" s="269"/>
      <c r="E18" s="757"/>
      <c r="F18" s="544">
        <v>142.63</v>
      </c>
      <c r="G18" s="757">
        <v>182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>
        <v>79.37</v>
      </c>
      <c r="E20" s="841">
        <v>350</v>
      </c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1510</v>
      </c>
      <c r="D21" s="618">
        <v>30.45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1510</v>
      </c>
      <c r="D22" s="618">
        <v>205.16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1510</v>
      </c>
      <c r="D23" s="618">
        <v>977.2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1506</v>
      </c>
      <c r="D24" s="618">
        <v>24.66</v>
      </c>
      <c r="E24" s="754">
        <v>110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1510</v>
      </c>
      <c r="D25" s="618">
        <v>18.420000000000002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1504</v>
      </c>
      <c r="D26" s="618">
        <v>133.38</v>
      </c>
      <c r="E26" s="754">
        <v>1179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1504</v>
      </c>
      <c r="D27" s="618">
        <v>5989.34</v>
      </c>
      <c r="E27" s="754">
        <v>64700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1510</v>
      </c>
      <c r="D28" s="618">
        <v>280.58</v>
      </c>
      <c r="E28" s="754">
        <v>1892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1504</v>
      </c>
      <c r="D29" s="618">
        <v>70.03</v>
      </c>
      <c r="E29" s="754">
        <v>300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1507</v>
      </c>
      <c r="D30" s="618">
        <v>321.14</v>
      </c>
      <c r="E30" s="754">
        <v>1040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1510</v>
      </c>
      <c r="D31" s="618">
        <v>567.12</v>
      </c>
      <c r="E31" s="754">
        <v>5040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1507</v>
      </c>
      <c r="D32" s="618">
        <v>988.05</v>
      </c>
      <c r="E32" s="754">
        <v>9826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1510</v>
      </c>
      <c r="D33" s="618">
        <v>1333.83</v>
      </c>
      <c r="E33" s="754">
        <v>12000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1498</v>
      </c>
      <c r="D34" s="618">
        <v>28.57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1510</v>
      </c>
      <c r="D35" s="618">
        <v>14.03</v>
      </c>
      <c r="E35" s="754">
        <v>9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1510</v>
      </c>
      <c r="D36" s="618">
        <v>21.46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1508</v>
      </c>
      <c r="D37" s="618">
        <v>299.89</v>
      </c>
      <c r="E37" s="754">
        <v>1976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1508</v>
      </c>
      <c r="D38" s="618">
        <v>64.239999999999995</v>
      </c>
      <c r="E38" s="754">
        <v>490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1504</v>
      </c>
      <c r="D39" s="618">
        <v>397.57</v>
      </c>
      <c r="E39" s="754">
        <v>3406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1507</v>
      </c>
      <c r="D40" s="618">
        <v>163.86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1508</v>
      </c>
      <c r="D41" s="618">
        <v>29.44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1498</v>
      </c>
      <c r="D42" s="618">
        <v>241.93</v>
      </c>
      <c r="E42" s="754">
        <v>2186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1506</v>
      </c>
      <c r="D43" s="618">
        <v>19.32</v>
      </c>
      <c r="E43" s="754">
        <v>59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1510</v>
      </c>
      <c r="D44" s="618">
        <v>18.420000000000002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1510</v>
      </c>
      <c r="D45" s="618">
        <v>21.95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1504</v>
      </c>
      <c r="D46" s="618">
        <v>13.12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1508</v>
      </c>
      <c r="D47" s="618">
        <v>343.78</v>
      </c>
      <c r="E47" s="754">
        <v>2344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1510</v>
      </c>
      <c r="D48" s="618">
        <v>626.48</v>
      </c>
      <c r="E48" s="754">
        <v>3000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1510</v>
      </c>
      <c r="D49" s="618">
        <v>380.45</v>
      </c>
      <c r="E49" s="754">
        <v>1400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1510</v>
      </c>
      <c r="D50" s="618">
        <v>1228.54</v>
      </c>
      <c r="E50" s="754">
        <v>10440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1508</v>
      </c>
      <c r="D51" s="618">
        <v>29.44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1507</v>
      </c>
      <c r="D52" s="618">
        <v>34.44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1498</v>
      </c>
      <c r="D53" s="618">
        <v>164.59</v>
      </c>
      <c r="E53" s="754">
        <v>1324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1508</v>
      </c>
      <c r="D54" s="618">
        <v>124.93</v>
      </c>
      <c r="E54" s="754">
        <v>1072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1510</v>
      </c>
      <c r="D55" s="618">
        <v>79.37</v>
      </c>
      <c r="E55" s="754">
        <v>579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1507</v>
      </c>
      <c r="D56" s="618">
        <v>19.39</v>
      </c>
      <c r="E56" s="754">
        <v>60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1505</v>
      </c>
      <c r="D57" s="618">
        <v>220.01</v>
      </c>
      <c r="E57" s="754">
        <v>1954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1506</v>
      </c>
      <c r="D58" s="618">
        <v>143.91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1508</v>
      </c>
      <c r="D59" s="618">
        <v>918.37</v>
      </c>
      <c r="E59" s="754">
        <v>8160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1507</v>
      </c>
      <c r="D60" s="618">
        <v>188.22</v>
      </c>
      <c r="E60" s="754">
        <v>1259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1498</v>
      </c>
      <c r="D61" s="618">
        <v>40.43</v>
      </c>
      <c r="E61" s="754">
        <v>261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1508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1510</v>
      </c>
      <c r="D63" s="618">
        <v>396.77</v>
      </c>
      <c r="E63" s="754">
        <v>3168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1510</v>
      </c>
      <c r="D64" s="618">
        <v>30.6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1506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1510</v>
      </c>
      <c r="D66" s="618">
        <v>1793.99</v>
      </c>
      <c r="E66" s="754">
        <v>11550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1504</v>
      </c>
      <c r="D67" s="618">
        <v>57.19</v>
      </c>
      <c r="E67" s="754">
        <v>421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1504</v>
      </c>
      <c r="D68" s="618">
        <v>141.07</v>
      </c>
      <c r="E68" s="754">
        <v>1222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1498</v>
      </c>
      <c r="D70" s="269">
        <v>168</v>
      </c>
      <c r="E70" s="757">
        <v>1650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1498</v>
      </c>
      <c r="D71" s="269">
        <v>152</v>
      </c>
      <c r="E71" s="757">
        <v>1196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1498</v>
      </c>
      <c r="D72" s="269">
        <v>107</v>
      </c>
      <c r="E72" s="757">
        <v>650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1498</v>
      </c>
      <c r="D73" s="269">
        <v>44</v>
      </c>
      <c r="E73" s="757">
        <v>112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1498</v>
      </c>
      <c r="D74" s="269">
        <v>41</v>
      </c>
      <c r="E74" s="757">
        <v>80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1498</v>
      </c>
      <c r="D75" s="269">
        <v>278</v>
      </c>
      <c r="E75" s="757">
        <v>2755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1498</v>
      </c>
      <c r="D76" s="269">
        <v>203</v>
      </c>
      <c r="E76" s="757">
        <v>2178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1498</v>
      </c>
      <c r="D77" s="269">
        <v>59</v>
      </c>
      <c r="E77" s="757">
        <v>307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1498</v>
      </c>
      <c r="D78" s="269">
        <v>70</v>
      </c>
      <c r="E78" s="757">
        <v>190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1498</v>
      </c>
      <c r="D79" s="269">
        <v>35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1498</v>
      </c>
      <c r="D80" s="269">
        <v>54</v>
      </c>
      <c r="E80" s="757">
        <v>241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1498</v>
      </c>
      <c r="D81" s="269">
        <v>73.64</v>
      </c>
      <c r="E81" s="757">
        <v>242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1498</v>
      </c>
      <c r="D82" s="328">
        <v>71</v>
      </c>
      <c r="E82" s="763">
        <v>285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1498</v>
      </c>
      <c r="D83" s="269">
        <v>1263</v>
      </c>
      <c r="E83" s="757">
        <v>13920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1498</v>
      </c>
      <c r="D84" s="269">
        <v>81</v>
      </c>
      <c r="E84" s="757">
        <v>372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1498</v>
      </c>
      <c r="D85" s="269">
        <v>91</v>
      </c>
      <c r="E85" s="757">
        <v>3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1498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1498</v>
      </c>
      <c r="D87" s="269">
        <v>39</v>
      </c>
      <c r="E87" s="757">
        <v>0.74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1498</v>
      </c>
      <c r="D88" s="269">
        <v>281</v>
      </c>
      <c r="E88" s="757">
        <v>1800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1498</v>
      </c>
      <c r="D89" s="269">
        <v>387</v>
      </c>
      <c r="E89" s="757">
        <v>3720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1498</v>
      </c>
      <c r="D90" s="674">
        <v>252</v>
      </c>
      <c r="E90" s="771">
        <v>34.668999999999997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1488</v>
      </c>
      <c r="D91" s="269">
        <v>149</v>
      </c>
      <c r="E91" s="757">
        <v>675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1498</v>
      </c>
      <c r="D92" s="269">
        <v>18</v>
      </c>
      <c r="E92" s="757">
        <v>214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1488</v>
      </c>
      <c r="D93" s="269">
        <v>89</v>
      </c>
      <c r="E93" s="757">
        <v>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1488</v>
      </c>
      <c r="D94" s="269">
        <v>34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1498</v>
      </c>
      <c r="D95" s="269">
        <v>1492</v>
      </c>
      <c r="E95" s="757">
        <v>17640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1498</v>
      </c>
      <c r="D96" s="269">
        <v>107</v>
      </c>
      <c r="E96" s="757">
        <v>641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1498</v>
      </c>
      <c r="D98" s="269"/>
      <c r="E98" s="757"/>
      <c r="F98" s="544"/>
      <c r="G98" s="757"/>
      <c r="H98" s="269">
        <v>134.59</v>
      </c>
      <c r="I98" s="757">
        <v>181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1498</v>
      </c>
      <c r="D99" s="269"/>
      <c r="E99" s="757"/>
      <c r="F99" s="544"/>
      <c r="G99" s="757"/>
      <c r="H99" s="269">
        <v>118.36</v>
      </c>
      <c r="I99" s="757">
        <v>156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1498</v>
      </c>
      <c r="D100" s="269"/>
      <c r="E100" s="757"/>
      <c r="F100" s="544"/>
      <c r="G100" s="757"/>
      <c r="H100" s="544">
        <v>39.299999999999997</v>
      </c>
      <c r="I100" s="757">
        <v>5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1498</v>
      </c>
      <c r="D101" s="269"/>
      <c r="E101" s="757"/>
      <c r="F101" s="544"/>
      <c r="G101" s="757"/>
      <c r="H101" s="269">
        <v>39.299999999999997</v>
      </c>
      <c r="I101" s="757">
        <v>15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1498</v>
      </c>
      <c r="D102" s="269"/>
      <c r="E102" s="757"/>
      <c r="F102" s="544"/>
      <c r="G102" s="757"/>
      <c r="H102" s="544">
        <v>41.97</v>
      </c>
      <c r="I102" s="757">
        <v>25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1498</v>
      </c>
      <c r="D103" s="269"/>
      <c r="E103" s="757"/>
      <c r="F103" s="544"/>
      <c r="G103" s="757"/>
      <c r="H103" s="544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544">
        <v>245.45</v>
      </c>
      <c r="I104" s="757">
        <v>265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1498</v>
      </c>
      <c r="D105" s="269"/>
      <c r="E105" s="757"/>
      <c r="F105" s="544"/>
      <c r="G105" s="757"/>
      <c r="H105" s="544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1498</v>
      </c>
      <c r="D106" s="269"/>
      <c r="E106" s="757"/>
      <c r="F106" s="544"/>
      <c r="G106" s="757"/>
      <c r="H106" s="544">
        <v>189.98</v>
      </c>
      <c r="I106" s="757">
        <v>265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1498</v>
      </c>
      <c r="D107" s="269"/>
      <c r="E107" s="757"/>
      <c r="F107" s="544"/>
      <c r="G107" s="757"/>
      <c r="H107" s="544">
        <v>39.299999999999997</v>
      </c>
      <c r="I107" s="757">
        <v>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1498</v>
      </c>
      <c r="D108" s="269"/>
      <c r="E108" s="757"/>
      <c r="F108" s="544"/>
      <c r="G108" s="757"/>
      <c r="H108" s="544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1498</v>
      </c>
      <c r="D109" s="242"/>
      <c r="E109" s="749"/>
      <c r="F109" s="542"/>
      <c r="G109" s="749"/>
      <c r="H109" s="5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1498</v>
      </c>
      <c r="D110" s="269"/>
      <c r="E110" s="757"/>
      <c r="F110" s="544"/>
      <c r="G110" s="757"/>
      <c r="H110" s="544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1498</v>
      </c>
      <c r="D111" s="269"/>
      <c r="E111" s="757"/>
      <c r="F111" s="544"/>
      <c r="G111" s="757"/>
      <c r="H111" s="544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1498</v>
      </c>
      <c r="D112" s="269"/>
      <c r="E112" s="757"/>
      <c r="F112" s="544"/>
      <c r="G112" s="757"/>
      <c r="H112" s="544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1498</v>
      </c>
      <c r="D113" s="269"/>
      <c r="E113" s="757"/>
      <c r="F113" s="544"/>
      <c r="G113" s="757"/>
      <c r="H113" s="544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1498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1498</v>
      </c>
      <c r="D115" s="269"/>
      <c r="E115" s="757"/>
      <c r="F115" s="544"/>
      <c r="G115" s="757"/>
      <c r="H115" s="269">
        <v>39.299999999999997</v>
      </c>
      <c r="I115" s="757">
        <v>4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1498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1498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1498</v>
      </c>
      <c r="D118" s="269"/>
      <c r="E118" s="757"/>
      <c r="F118" s="544"/>
      <c r="G118" s="757"/>
      <c r="H118" s="269">
        <v>81.489999999999995</v>
      </c>
      <c r="I118" s="757">
        <v>99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1498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1498</v>
      </c>
      <c r="D120" s="269"/>
      <c r="E120" s="757"/>
      <c r="F120" s="544"/>
      <c r="G120" s="757"/>
      <c r="H120" s="269">
        <v>39.299999999999997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1498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1498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56.13</v>
      </c>
      <c r="I123" s="757">
        <v>20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1498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1488</v>
      </c>
      <c r="D125" s="269"/>
      <c r="E125" s="757"/>
      <c r="F125" s="544"/>
      <c r="G125" s="757"/>
      <c r="H125" s="269">
        <v>39.299999999999997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1488</v>
      </c>
      <c r="D126" s="269"/>
      <c r="E126" s="757"/>
      <c r="F126" s="544"/>
      <c r="G126" s="757"/>
      <c r="H126" s="269">
        <v>49.45</v>
      </c>
      <c r="I126" s="757">
        <v>39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1498</v>
      </c>
      <c r="D127" s="269"/>
      <c r="E127" s="757"/>
      <c r="F127" s="544"/>
      <c r="G127" s="757"/>
      <c r="H127" s="269">
        <v>39.299999999999997</v>
      </c>
      <c r="I127" s="757">
        <v>11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1498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1509</v>
      </c>
      <c r="D129" s="269"/>
      <c r="E129" s="757"/>
      <c r="F129" s="544"/>
      <c r="G129" s="757"/>
      <c r="H129" s="269">
        <v>46.24</v>
      </c>
      <c r="I129" s="757">
        <v>33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>
        <v>164.77</v>
      </c>
      <c r="I130" s="757">
        <v>157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1509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1509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1509</v>
      </c>
      <c r="D133" s="269"/>
      <c r="E133" s="757"/>
      <c r="F133" s="544"/>
      <c r="G133" s="757"/>
      <c r="H133" s="269">
        <v>2707.41</v>
      </c>
      <c r="I133" s="757">
        <v>3566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1509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1509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1509</v>
      </c>
      <c r="D136" s="269"/>
      <c r="E136" s="757"/>
      <c r="F136" s="544"/>
      <c r="G136" s="757"/>
      <c r="H136" s="269">
        <v>39.299999999999997</v>
      </c>
      <c r="I136" s="757">
        <v>13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1509</v>
      </c>
      <c r="D137" s="269"/>
      <c r="E137" s="757"/>
      <c r="F137" s="544"/>
      <c r="G137" s="757"/>
      <c r="H137" s="269">
        <v>307.61</v>
      </c>
      <c r="I137" s="757" t="s">
        <v>383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1509</v>
      </c>
      <c r="D138" s="269"/>
      <c r="E138" s="757"/>
      <c r="F138" s="544"/>
      <c r="G138" s="757"/>
      <c r="H138" s="269">
        <v>203.41</v>
      </c>
      <c r="I138" s="757">
        <v>284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1501</v>
      </c>
      <c r="D139" s="269"/>
      <c r="E139" s="757"/>
      <c r="F139" s="544"/>
      <c r="G139" s="757"/>
      <c r="H139" s="269">
        <v>281.89</v>
      </c>
      <c r="I139" s="757">
        <v>395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1498</v>
      </c>
      <c r="D141" s="269"/>
      <c r="E141" s="757"/>
      <c r="F141" s="544"/>
      <c r="G141" s="757"/>
      <c r="H141" s="269">
        <v>50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1546</v>
      </c>
      <c r="D142" s="269"/>
      <c r="E142" s="757"/>
      <c r="F142" s="544"/>
      <c r="G142" s="757"/>
      <c r="H142" s="269">
        <v>60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>
        <v>35.18</v>
      </c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1497</v>
      </c>
      <c r="D146" s="269"/>
      <c r="E146" s="757"/>
      <c r="F146" s="544"/>
      <c r="G146" s="757"/>
      <c r="H146" s="269">
        <v>35</v>
      </c>
      <c r="I146" s="757">
        <v>1000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1499</v>
      </c>
      <c r="D148" s="269"/>
      <c r="E148" s="757"/>
      <c r="F148" s="544"/>
      <c r="G148" s="757"/>
      <c r="H148" s="269">
        <v>79.13</v>
      </c>
      <c r="I148" s="757">
        <v>131690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10" workbookViewId="0">
      <selection activeCell="I19" sqref="I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1503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49"/>
      <c r="B4" s="850"/>
      <c r="C4" s="850"/>
      <c r="D4" s="850"/>
      <c r="E4" s="850"/>
      <c r="F4" s="850"/>
      <c r="G4" s="85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233371.66</v>
      </c>
      <c r="D13" s="34"/>
      <c r="E13" s="35" t="s">
        <v>33</v>
      </c>
      <c r="F13" s="34"/>
      <c r="G13" s="42">
        <v>38356.54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2341</v>
      </c>
      <c r="D15" s="34"/>
      <c r="E15" s="35" t="s">
        <v>10</v>
      </c>
      <c r="F15" s="34"/>
      <c r="G15" s="42">
        <v>4233.07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8018</v>
      </c>
      <c r="D17" s="34"/>
      <c r="E17" s="35" t="s">
        <v>278</v>
      </c>
      <c r="F17" s="34"/>
      <c r="G17" s="42">
        <v>6090.18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A63" sqref="A6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1484</v>
      </c>
      <c r="D3" s="328"/>
      <c r="E3" s="763"/>
      <c r="F3" s="620">
        <v>936.38</v>
      </c>
      <c r="G3" s="763">
        <v>1568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1482</v>
      </c>
      <c r="D4" s="269"/>
      <c r="E4" s="757"/>
      <c r="F4" s="544">
        <v>83.33</v>
      </c>
      <c r="G4" s="757">
        <v>60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1479</v>
      </c>
      <c r="D5" s="328"/>
      <c r="E5" s="763"/>
      <c r="F5" s="620">
        <v>64.680000000000007</v>
      </c>
      <c r="G5" s="763">
        <v>27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1481</v>
      </c>
      <c r="D6" s="269"/>
      <c r="E6" s="757"/>
      <c r="F6" s="544">
        <v>110.51</v>
      </c>
      <c r="G6" s="757">
        <v>108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1478</v>
      </c>
      <c r="D8" s="269"/>
      <c r="E8" s="757"/>
      <c r="F8" s="544">
        <v>50.04</v>
      </c>
      <c r="G8" s="757">
        <v>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1480</v>
      </c>
      <c r="D9" s="269"/>
      <c r="E9" s="757"/>
      <c r="F9" s="544">
        <v>111.07</v>
      </c>
      <c r="G9" s="757">
        <v>109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1480</v>
      </c>
      <c r="D10" s="269"/>
      <c r="E10" s="757"/>
      <c r="F10" s="544">
        <v>75.44</v>
      </c>
      <c r="G10" s="757">
        <v>46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1480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1478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1482</v>
      </c>
      <c r="D13" s="269"/>
      <c r="E13" s="757"/>
      <c r="F13" s="544">
        <v>50.54</v>
      </c>
      <c r="G13" s="757">
        <v>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1482</v>
      </c>
      <c r="D14" s="269"/>
      <c r="E14" s="757"/>
      <c r="F14" s="544">
        <v>175.55</v>
      </c>
      <c r="G14" s="757">
        <v>223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1481</v>
      </c>
      <c r="D15" s="269"/>
      <c r="E15" s="757"/>
      <c r="F15" s="544">
        <v>57.32</v>
      </c>
      <c r="G15" s="757">
        <v>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1482</v>
      </c>
      <c r="D16" s="269"/>
      <c r="E16" s="757"/>
      <c r="F16" s="544">
        <v>132.57</v>
      </c>
      <c r="G16" s="757">
        <v>147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1487</v>
      </c>
      <c r="D17" s="269"/>
      <c r="E17" s="757"/>
      <c r="F17" s="544">
        <v>43.64</v>
      </c>
      <c r="G17" s="757">
        <v>36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/>
      <c r="G18" s="757"/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/>
      <c r="E20" s="841"/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1494</v>
      </c>
      <c r="D21" s="618">
        <v>31.35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1494</v>
      </c>
      <c r="D22" s="618">
        <v>211.85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1494</v>
      </c>
      <c r="D23" s="618">
        <v>1028.1600000000001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1489</v>
      </c>
      <c r="D24" s="618">
        <v>19.59</v>
      </c>
      <c r="E24" s="754">
        <v>57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1494</v>
      </c>
      <c r="D25" s="618">
        <v>19.2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1490</v>
      </c>
      <c r="D26" s="618">
        <v>180.72</v>
      </c>
      <c r="E26" s="754">
        <v>1449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1490</v>
      </c>
      <c r="D27" s="618">
        <v>8661.51</v>
      </c>
      <c r="E27" s="754">
        <v>88600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1494</v>
      </c>
      <c r="D28" s="618">
        <v>343.48</v>
      </c>
      <c r="E28" s="754">
        <v>2010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1490</v>
      </c>
      <c r="D29" s="618">
        <v>433.28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1492</v>
      </c>
      <c r="D30" s="618">
        <v>436.29</v>
      </c>
      <c r="E30" s="754">
        <v>2480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1494</v>
      </c>
      <c r="D31" s="618">
        <v>727.57</v>
      </c>
      <c r="E31" s="754">
        <v>4840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1492</v>
      </c>
      <c r="D32" s="618">
        <v>943.9</v>
      </c>
      <c r="E32" s="754">
        <v>8246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1494</v>
      </c>
      <c r="D33" s="618">
        <v>1380.8</v>
      </c>
      <c r="E33" s="754">
        <v>11100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1487</v>
      </c>
      <c r="D34" s="618">
        <v>29.39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1494</v>
      </c>
      <c r="D35" s="618">
        <v>14.02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1494</v>
      </c>
      <c r="D36" s="618">
        <v>22.36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1491</v>
      </c>
      <c r="D37" s="618">
        <v>323.68</v>
      </c>
      <c r="E37" s="754">
        <v>2053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1491</v>
      </c>
      <c r="D38" s="618">
        <v>48.15</v>
      </c>
      <c r="E38" s="754">
        <v>310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1490</v>
      </c>
      <c r="D39" s="618">
        <v>464.15</v>
      </c>
      <c r="E39" s="754">
        <v>3709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1492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1491</v>
      </c>
      <c r="D41" s="618">
        <v>30.51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1487</v>
      </c>
      <c r="D42" s="618">
        <v>105.52</v>
      </c>
      <c r="E42" s="754">
        <v>819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1489</v>
      </c>
      <c r="D43" s="618">
        <v>18.920000000000002</v>
      </c>
      <c r="E43" s="754">
        <v>51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1494</v>
      </c>
      <c r="D44" s="618">
        <v>19.2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1494</v>
      </c>
      <c r="D45" s="618">
        <v>22.85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1490</v>
      </c>
      <c r="D46" s="618">
        <v>26.24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1491</v>
      </c>
      <c r="D47" s="618">
        <v>381</v>
      </c>
      <c r="E47" s="754">
        <v>43</v>
      </c>
      <c r="F47" s="548">
        <v>2239</v>
      </c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1494</v>
      </c>
      <c r="D48" s="618">
        <v>430.75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1494</v>
      </c>
      <c r="D49" s="618">
        <v>295.64999999999998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1494</v>
      </c>
      <c r="D50" s="618">
        <v>1383.41</v>
      </c>
      <c r="E50" s="754">
        <v>10800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1491</v>
      </c>
      <c r="D51" s="618">
        <v>30.51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1492</v>
      </c>
      <c r="D52" s="618">
        <v>35.71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1487</v>
      </c>
      <c r="D53" s="618">
        <v>125.13</v>
      </c>
      <c r="E53" s="754">
        <v>914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1491</v>
      </c>
      <c r="D54" s="618">
        <v>145.66999999999999</v>
      </c>
      <c r="E54" s="754">
        <v>1173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1494</v>
      </c>
      <c r="D55" s="618">
        <v>29.77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1491</v>
      </c>
      <c r="D56" s="618">
        <v>18.96</v>
      </c>
      <c r="E56" s="754">
        <v>51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1493</v>
      </c>
      <c r="D57" s="618">
        <v>73.650000000000006</v>
      </c>
      <c r="E57" s="754">
        <v>536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1489</v>
      </c>
      <c r="D58" s="618">
        <v>148.82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1491</v>
      </c>
      <c r="D59" s="618">
        <v>996.74</v>
      </c>
      <c r="E59" s="754">
        <v>8160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1492</v>
      </c>
      <c r="D60" s="618">
        <v>242.06</v>
      </c>
      <c r="E60" s="754">
        <v>1252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1487</v>
      </c>
      <c r="D61" s="618">
        <v>44.05</v>
      </c>
      <c r="E61" s="754">
        <v>274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1491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1494</v>
      </c>
      <c r="D63" s="618">
        <v>418.87</v>
      </c>
      <c r="E63" s="754">
        <v>3047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1494</v>
      </c>
      <c r="D64" s="618">
        <v>32.159999999999997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1489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1494</v>
      </c>
      <c r="D66" s="618">
        <v>1499.63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1490</v>
      </c>
      <c r="D67" s="618">
        <v>43.53</v>
      </c>
      <c r="E67" s="754">
        <v>273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1490</v>
      </c>
      <c r="D68" s="618">
        <v>160.52000000000001</v>
      </c>
      <c r="E68" s="754">
        <v>1323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1488</v>
      </c>
      <c r="D70" s="269">
        <v>184</v>
      </c>
      <c r="E70" s="757">
        <v>1837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1488</v>
      </c>
      <c r="D71" s="269">
        <v>136</v>
      </c>
      <c r="E71" s="757">
        <v>1009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1488</v>
      </c>
      <c r="D72" s="269">
        <v>114</v>
      </c>
      <c r="E72" s="757">
        <v>728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1488</v>
      </c>
      <c r="D73" s="269">
        <v>44</v>
      </c>
      <c r="E73" s="757">
        <v>111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1488</v>
      </c>
      <c r="D74" s="269">
        <v>41</v>
      </c>
      <c r="E74" s="757">
        <v>74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1488</v>
      </c>
      <c r="D75" s="269">
        <v>263</v>
      </c>
      <c r="E75" s="757">
        <v>2568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1488</v>
      </c>
      <c r="D76" s="269">
        <v>146</v>
      </c>
      <c r="E76" s="757">
        <v>1469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1488</v>
      </c>
      <c r="D77" s="269">
        <v>58</v>
      </c>
      <c r="E77" s="757">
        <v>287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1488</v>
      </c>
      <c r="D78" s="269">
        <v>71</v>
      </c>
      <c r="E78" s="757">
        <v>209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1488</v>
      </c>
      <c r="D79" s="269">
        <v>35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1488</v>
      </c>
      <c r="D80" s="269">
        <v>50</v>
      </c>
      <c r="E80" s="757">
        <v>194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1488</v>
      </c>
      <c r="D81" s="269">
        <v>73.81</v>
      </c>
      <c r="E81" s="757">
        <v>244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1488</v>
      </c>
      <c r="D82" s="328">
        <v>123</v>
      </c>
      <c r="E82" s="763">
        <v>900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1488</v>
      </c>
      <c r="D83" s="269">
        <v>81</v>
      </c>
      <c r="E83" s="757">
        <v>407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1488</v>
      </c>
      <c r="D84" s="269">
        <v>11790</v>
      </c>
      <c r="E84" s="757">
        <v>13560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1488</v>
      </c>
      <c r="D85" s="269">
        <v>92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1488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1488</v>
      </c>
      <c r="D87" s="269">
        <v>39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1488</v>
      </c>
      <c r="D88" s="269">
        <v>208</v>
      </c>
      <c r="E88" s="757">
        <v>900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1488</v>
      </c>
      <c r="D89" s="269">
        <v>222</v>
      </c>
      <c r="E89" s="757">
        <v>1680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1485</v>
      </c>
      <c r="D90" s="674">
        <v>252</v>
      </c>
      <c r="E90" s="771">
        <v>34.659999999999997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1488</v>
      </c>
      <c r="D91" s="269">
        <v>149</v>
      </c>
      <c r="E91" s="757">
        <v>675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1486</v>
      </c>
      <c r="D92" s="269">
        <v>54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1488</v>
      </c>
      <c r="D93" s="269">
        <v>89</v>
      </c>
      <c r="E93" s="757">
        <v>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1488</v>
      </c>
      <c r="D94" s="269">
        <v>34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1488</v>
      </c>
      <c r="D95" s="269">
        <v>1650</v>
      </c>
      <c r="E95" s="757">
        <v>23160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1488</v>
      </c>
      <c r="D96" s="269">
        <v>54</v>
      </c>
      <c r="E96" s="757">
        <v>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1488</v>
      </c>
      <c r="D98" s="269"/>
      <c r="E98" s="757"/>
      <c r="F98" s="544"/>
      <c r="G98" s="757"/>
      <c r="H98" s="269">
        <v>143.68</v>
      </c>
      <c r="I98" s="757">
        <v>195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1488</v>
      </c>
      <c r="D99" s="269"/>
      <c r="E99" s="757"/>
      <c r="F99" s="544"/>
      <c r="G99" s="757"/>
      <c r="H99" s="269">
        <v>243</v>
      </c>
      <c r="I99" s="757">
        <v>340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89" t="s">
        <v>1488</v>
      </c>
      <c r="D100" s="269"/>
      <c r="E100" s="757"/>
      <c r="F100" s="544"/>
      <c r="G100" s="757"/>
      <c r="H100" s="269">
        <v>39.299999999999997</v>
      </c>
      <c r="I100" s="757">
        <v>12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89" t="s">
        <v>1488</v>
      </c>
      <c r="D101" s="269"/>
      <c r="E101" s="757"/>
      <c r="F101" s="544"/>
      <c r="G101" s="757"/>
      <c r="H101" s="269">
        <v>39.299999999999997</v>
      </c>
      <c r="I101" s="757">
        <v>20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89" t="s">
        <v>1488</v>
      </c>
      <c r="D102" s="269"/>
      <c r="E102" s="757"/>
      <c r="F102" s="544"/>
      <c r="G102" s="757"/>
      <c r="H102" s="269">
        <v>51.05</v>
      </c>
      <c r="I102" s="757">
        <v>42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89" t="s">
        <v>1488</v>
      </c>
      <c r="D103" s="269"/>
      <c r="E103" s="757"/>
      <c r="F103" s="544"/>
      <c r="G103" s="757"/>
      <c r="H103" s="269">
        <v>39.299999999999997</v>
      </c>
      <c r="I103" s="757">
        <v>3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1488</v>
      </c>
      <c r="D104" s="269"/>
      <c r="E104" s="757"/>
      <c r="F104" s="544"/>
      <c r="G104" s="757"/>
      <c r="H104" s="269">
        <v>50.51</v>
      </c>
      <c r="I104" s="757">
        <v>41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89" t="s">
        <v>1488</v>
      </c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89" t="s">
        <v>1488</v>
      </c>
      <c r="D106" s="269"/>
      <c r="E106" s="757"/>
      <c r="F106" s="544"/>
      <c r="G106" s="757"/>
      <c r="H106" s="269">
        <v>45.17</v>
      </c>
      <c r="I106" s="757">
        <v>31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89" t="s">
        <v>1488</v>
      </c>
      <c r="D107" s="269"/>
      <c r="E107" s="757"/>
      <c r="F107" s="544"/>
      <c r="G107" s="757"/>
      <c r="H107" s="269">
        <v>39.299999999999997</v>
      </c>
      <c r="I107" s="757">
        <v>11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1488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1488</v>
      </c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89" t="s">
        <v>1488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89" t="s">
        <v>1488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1488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1488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89" t="s">
        <v>1488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89" t="s">
        <v>1488</v>
      </c>
      <c r="D115" s="269"/>
      <c r="E115" s="757"/>
      <c r="F115" s="544"/>
      <c r="G115" s="757"/>
      <c r="H115" s="269">
        <v>39.299999999999997</v>
      </c>
      <c r="I115" s="757">
        <v>6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89" t="s">
        <v>1488</v>
      </c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1488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89" t="s">
        <v>1488</v>
      </c>
      <c r="D118" s="269"/>
      <c r="E118" s="757"/>
      <c r="F118" s="544"/>
      <c r="G118" s="757"/>
      <c r="H118" s="269">
        <v>154.71</v>
      </c>
      <c r="I118" s="757">
        <v>212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89" t="s">
        <v>1488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89" t="s">
        <v>1488</v>
      </c>
      <c r="D120" s="269"/>
      <c r="E120" s="757"/>
      <c r="F120" s="544"/>
      <c r="G120" s="757"/>
      <c r="H120" s="269">
        <v>39.299999999999997</v>
      </c>
      <c r="I120" s="757">
        <v>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89" t="s">
        <v>1488</v>
      </c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89" t="s">
        <v>1488</v>
      </c>
      <c r="D122" s="269"/>
      <c r="E122" s="757"/>
      <c r="F122" s="544"/>
      <c r="G122" s="757"/>
      <c r="H122" s="269">
        <v>119.01</v>
      </c>
      <c r="I122" s="757">
        <v>157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89" t="s">
        <v>1488</v>
      </c>
      <c r="D123" s="269"/>
      <c r="E123" s="757"/>
      <c r="F123" s="544"/>
      <c r="G123" s="757"/>
      <c r="H123" s="269">
        <v>56.13</v>
      </c>
      <c r="I123" s="757">
        <v>20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89">
        <v>43739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1488</v>
      </c>
      <c r="D125" s="269"/>
      <c r="E125" s="757"/>
      <c r="F125" s="544"/>
      <c r="G125" s="757"/>
      <c r="H125" s="269">
        <v>39.299999999999997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1488</v>
      </c>
      <c r="D126" s="269"/>
      <c r="E126" s="757"/>
      <c r="F126" s="544"/>
      <c r="G126" s="757"/>
      <c r="H126" s="269">
        <v>49.45</v>
      </c>
      <c r="I126" s="757">
        <v>39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1488</v>
      </c>
      <c r="D127" s="269"/>
      <c r="E127" s="757"/>
      <c r="F127" s="544"/>
      <c r="G127" s="757"/>
      <c r="H127" s="269">
        <v>39.299999999999997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1488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1492</v>
      </c>
      <c r="D129" s="269"/>
      <c r="E129" s="757"/>
      <c r="F129" s="544"/>
      <c r="G129" s="757"/>
      <c r="H129" s="269">
        <v>55.32</v>
      </c>
      <c r="I129" s="757">
        <v>50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>
        <v>43739</v>
      </c>
      <c r="D130" s="269"/>
      <c r="E130" s="757"/>
      <c r="F130" s="544"/>
      <c r="G130" s="757"/>
      <c r="H130" s="269">
        <v>164.77</v>
      </c>
      <c r="I130" s="757">
        <v>157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1492</v>
      </c>
      <c r="D131" s="269"/>
      <c r="E131" s="757"/>
      <c r="F131" s="544"/>
      <c r="G131" s="757"/>
      <c r="H131" s="269">
        <v>271.27999999999997</v>
      </c>
      <c r="I131" s="757">
        <v>380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1492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1492</v>
      </c>
      <c r="D133" s="269"/>
      <c r="E133" s="757"/>
      <c r="F133" s="544"/>
      <c r="G133" s="757"/>
      <c r="H133" s="269">
        <v>2523.0500000000002</v>
      </c>
      <c r="I133" s="757">
        <v>3325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1492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1492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1492</v>
      </c>
      <c r="D136" s="269"/>
      <c r="E136" s="757"/>
      <c r="F136" s="544"/>
      <c r="G136" s="757"/>
      <c r="H136" s="269">
        <v>47.84</v>
      </c>
      <c r="I136" s="757">
        <v>36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1492</v>
      </c>
      <c r="D137" s="269"/>
      <c r="E137" s="757"/>
      <c r="F137" s="544"/>
      <c r="G137" s="757"/>
      <c r="H137" s="269">
        <v>297.66000000000003</v>
      </c>
      <c r="I137" s="757">
        <v>416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1492</v>
      </c>
      <c r="D138" s="269"/>
      <c r="E138" s="757"/>
      <c r="F138" s="544"/>
      <c r="G138" s="757"/>
      <c r="H138" s="269">
        <v>269.87</v>
      </c>
      <c r="I138" s="757">
        <v>378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89">
        <v>43739</v>
      </c>
      <c r="D139" s="269"/>
      <c r="E139" s="757"/>
      <c r="F139" s="544"/>
      <c r="G139" s="757"/>
      <c r="H139" s="269">
        <v>380</v>
      </c>
      <c r="I139" s="757">
        <v>419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>
        <v>43777</v>
      </c>
      <c r="D141" s="269"/>
      <c r="E141" s="757"/>
      <c r="F141" s="544"/>
      <c r="G141" s="757"/>
      <c r="H141" s="269">
        <v>52.5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89">
        <v>43777</v>
      </c>
      <c r="D142" s="269"/>
      <c r="E142" s="757"/>
      <c r="F142" s="544"/>
      <c r="G142" s="757"/>
      <c r="H142" s="269">
        <v>62.5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43777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45"/>
      <c r="B4" s="846"/>
      <c r="C4" s="846"/>
      <c r="D4" s="846"/>
      <c r="E4" s="846"/>
      <c r="F4" s="846"/>
      <c r="G4" s="84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269381.96999999997</v>
      </c>
      <c r="D13" s="34"/>
      <c r="E13" s="35" t="s">
        <v>33</v>
      </c>
      <c r="F13" s="34"/>
      <c r="G13" s="42">
        <v>29114.89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1136</v>
      </c>
      <c r="D15" s="34"/>
      <c r="E15" s="35" t="s">
        <v>10</v>
      </c>
      <c r="F15" s="34"/>
      <c r="G15" s="42">
        <v>1312.15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13736</v>
      </c>
      <c r="D17" s="34"/>
      <c r="E17" s="35" t="s">
        <v>278</v>
      </c>
      <c r="F17" s="34"/>
      <c r="G17" s="42">
        <v>8941.89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208</vt:i4>
      </vt:variant>
      <vt:variant>
        <vt:lpstr>Named Ranges</vt:lpstr>
      </vt:variant>
      <vt:variant>
        <vt:i4>1</vt:i4>
      </vt:variant>
    </vt:vector>
  </HeadingPairs>
  <TitlesOfParts>
    <vt:vector size="209" baseType="lpstr">
      <vt:lpstr>DECEMBER 2023</vt:lpstr>
      <vt:lpstr>NOVEMBER 2023 WEBSITE</vt:lpstr>
      <vt:lpstr>NOVEMBER 2023</vt:lpstr>
      <vt:lpstr>OCTERBER 2023 WEBSITE</vt:lpstr>
      <vt:lpstr>OCTOBER 2023</vt:lpstr>
      <vt:lpstr>SEPTEMBER 2023 WEBSITE</vt:lpstr>
      <vt:lpstr>SEPTEMBER 2023</vt:lpstr>
      <vt:lpstr>AUGUST 2023 WEBSITE</vt:lpstr>
      <vt:lpstr>AUGUST 2023</vt:lpstr>
      <vt:lpstr>JULY 2023 </vt:lpstr>
      <vt:lpstr>JUNE 2023 WEBSITE</vt:lpstr>
      <vt:lpstr>JUNE 2023</vt:lpstr>
      <vt:lpstr>MAY 2023 WEBSITE</vt:lpstr>
      <vt:lpstr>MAY 2023</vt:lpstr>
      <vt:lpstr>APRIL 2023 WEBSITE</vt:lpstr>
      <vt:lpstr>APRIL 2023</vt:lpstr>
      <vt:lpstr>MARCH 2023 WEBSITE</vt:lpstr>
      <vt:lpstr>MARCH 2023</vt:lpstr>
      <vt:lpstr>FEBRUARY 2023 WEBSITE</vt:lpstr>
      <vt:lpstr>FEBRUARY 2023</vt:lpstr>
      <vt:lpstr>JANUARY 2023 WEBSITE</vt:lpstr>
      <vt:lpstr>JANUARY 2023</vt:lpstr>
      <vt:lpstr>DECEMBER 2022 WEBSITE</vt:lpstr>
      <vt:lpstr>DECEMBER 2022</vt:lpstr>
      <vt:lpstr>NOVEMBER 2022 WEBSITE</vt:lpstr>
      <vt:lpstr>NOVEMBER 2022</vt:lpstr>
      <vt:lpstr>OCTOBER 2022 WEBSITE</vt:lpstr>
      <vt:lpstr>OCTOBER 2022</vt:lpstr>
      <vt:lpstr>SEPTEMBER 2022 WEBSITE</vt:lpstr>
      <vt:lpstr>SEPTEMBER 2022 </vt:lpstr>
      <vt:lpstr>AUGUST 2022 WEBSITE</vt:lpstr>
      <vt:lpstr>AUGUST 2022</vt:lpstr>
      <vt:lpstr>JULY 2022 WEBSITE</vt:lpstr>
      <vt:lpstr>JULY 2022</vt:lpstr>
      <vt:lpstr>JUNE 2022 WEBSITE </vt:lpstr>
      <vt:lpstr>JUNE 2022</vt:lpstr>
      <vt:lpstr>MAY 2022 WEBSITE</vt:lpstr>
      <vt:lpstr>MAY 2022</vt:lpstr>
      <vt:lpstr>APRIL 2022 WEBSITE</vt:lpstr>
      <vt:lpstr>APRIL 2022</vt:lpstr>
      <vt:lpstr>MARCH 2022 WEBSITE</vt:lpstr>
      <vt:lpstr>MARCH 2022</vt:lpstr>
      <vt:lpstr>FEBRUARY 2022 WEBSITE</vt:lpstr>
      <vt:lpstr>FEBRUARY 2022</vt:lpstr>
      <vt:lpstr>JANUARY 2022 WEBSITE</vt:lpstr>
      <vt:lpstr>JANUARY 2022</vt:lpstr>
      <vt:lpstr>DECEMBER 2021 WEBSITE</vt:lpstr>
      <vt:lpstr>DECEMBER 2021</vt:lpstr>
      <vt:lpstr>NOVEMBER 2021 WEBSITE</vt:lpstr>
      <vt:lpstr>NOVEMBER 2021</vt:lpstr>
      <vt:lpstr>OCTOBER 2021 WEBSITE</vt:lpstr>
      <vt:lpstr>OCTOBER 2021</vt:lpstr>
      <vt:lpstr>SEPTEMBER 2021 WEBSITE </vt:lpstr>
      <vt:lpstr>SEPTEMBER 2021</vt:lpstr>
      <vt:lpstr>AUGUST 2021 WEBSITE</vt:lpstr>
      <vt:lpstr>AUGUST 2021</vt:lpstr>
      <vt:lpstr>JULY WEBSITE 2021 </vt:lpstr>
      <vt:lpstr>JULY 2021</vt:lpstr>
      <vt:lpstr>JUNE WEBSITE 2021 </vt:lpstr>
      <vt:lpstr>JUNE 2021</vt:lpstr>
      <vt:lpstr>MAY WEBSITE 2021</vt:lpstr>
      <vt:lpstr>MAY 2021</vt:lpstr>
      <vt:lpstr>APRIL WEBSITE 2021</vt:lpstr>
      <vt:lpstr>APRIL 2021</vt:lpstr>
      <vt:lpstr>MARCH WEBSITE 2021</vt:lpstr>
      <vt:lpstr>MARCH 2021</vt:lpstr>
      <vt:lpstr>FEBRUARY WEBSITE 2021</vt:lpstr>
      <vt:lpstr>FEBURARY 2021</vt:lpstr>
      <vt:lpstr>JANUARY WEBSITE 2021</vt:lpstr>
      <vt:lpstr>JANUARY 2021</vt:lpstr>
      <vt:lpstr>DECEMBER WEBISTE 2020</vt:lpstr>
      <vt:lpstr>DECEMBER 2020</vt:lpstr>
      <vt:lpstr>NOVEMBER WEBSITE 2020</vt:lpstr>
      <vt:lpstr>NOVEMEBER 2020</vt:lpstr>
      <vt:lpstr>OCTOBER WEBSITE 2020</vt:lpstr>
      <vt:lpstr>OCTOBER 2020</vt:lpstr>
      <vt:lpstr>SEPTEMBER WEBSITE 2020</vt:lpstr>
      <vt:lpstr>SEPTEMBER 2020</vt:lpstr>
      <vt:lpstr>AUGUST WEBSITE 2020</vt:lpstr>
      <vt:lpstr>AUGUST 2020</vt:lpstr>
      <vt:lpstr>JULY WEBSITE 2020 </vt:lpstr>
      <vt:lpstr>JULY 2020</vt:lpstr>
      <vt:lpstr>JUNE WEBSITE 2020</vt:lpstr>
      <vt:lpstr>JUNE 2020</vt:lpstr>
      <vt:lpstr>MAY WEBSITE 2020</vt:lpstr>
      <vt:lpstr>MAY 2020</vt:lpstr>
      <vt:lpstr>APRIL WEBSITE 2020</vt:lpstr>
      <vt:lpstr>APRIL 2020</vt:lpstr>
      <vt:lpstr>MARCH WEBSITE 2020</vt:lpstr>
      <vt:lpstr>MARCH 2020</vt:lpstr>
      <vt:lpstr>FEBURARY WEBSITE 2020</vt:lpstr>
      <vt:lpstr>FEBURARY 2020</vt:lpstr>
      <vt:lpstr>JANUARY WEBSITE 2020</vt:lpstr>
      <vt:lpstr>JANUARY 2020</vt:lpstr>
      <vt:lpstr>DECEMBER WEBSITE 2019</vt:lpstr>
      <vt:lpstr>DECEMBER 2019</vt:lpstr>
      <vt:lpstr>NOVEMBER WEBSITE 2019</vt:lpstr>
      <vt:lpstr>NOVEMBER 2019</vt:lpstr>
      <vt:lpstr>OCTOBER WEBSITE 2019</vt:lpstr>
      <vt:lpstr>OCTOBER 2019</vt:lpstr>
      <vt:lpstr>SEPTEMBER WEBSITE 2019</vt:lpstr>
      <vt:lpstr>SEPTEMBER 2019</vt:lpstr>
      <vt:lpstr>AUGUST WEBSITE 2019</vt:lpstr>
      <vt:lpstr>AUGUST 2019</vt:lpstr>
      <vt:lpstr>JULY WEBSITE 2019</vt:lpstr>
      <vt:lpstr>JULY 2019</vt:lpstr>
      <vt:lpstr>JUNE WEBSITE 2019</vt:lpstr>
      <vt:lpstr>JUNE 2019</vt:lpstr>
      <vt:lpstr>MAY WEBSITE 2019</vt:lpstr>
      <vt:lpstr>MAY 2019</vt:lpstr>
      <vt:lpstr>APRIL WEBSITE 2019</vt:lpstr>
      <vt:lpstr>APRIL 2019</vt:lpstr>
      <vt:lpstr>MARCH WEBSITE 2019</vt:lpstr>
      <vt:lpstr>MARCH 2019</vt:lpstr>
      <vt:lpstr>FEBRUARY WEBSITE 2019</vt:lpstr>
      <vt:lpstr>FEBRUARY 2019</vt:lpstr>
      <vt:lpstr>JANUARY WEBSITE 2019</vt:lpstr>
      <vt:lpstr>JANUARY2019</vt:lpstr>
      <vt:lpstr>DECEMBER WEBSITE 2018</vt:lpstr>
      <vt:lpstr>DECEMBER2018</vt:lpstr>
      <vt:lpstr>NOVEMBER WEBSITE 2018</vt:lpstr>
      <vt:lpstr>NOVEMBER 2018</vt:lpstr>
      <vt:lpstr>OCTOBER WEBSITE 2018</vt:lpstr>
      <vt:lpstr>OCTOBER2018</vt:lpstr>
      <vt:lpstr>SEPTEMBER WEBSITE 2018</vt:lpstr>
      <vt:lpstr>SEPTEMBER2018</vt:lpstr>
      <vt:lpstr>AUGUST WEBSITE 2018</vt:lpstr>
      <vt:lpstr>AUGUST 2018</vt:lpstr>
      <vt:lpstr>JULY WEBSITE 2018</vt:lpstr>
      <vt:lpstr>JULY 2018</vt:lpstr>
      <vt:lpstr>JUNE WEBSITE 2018</vt:lpstr>
      <vt:lpstr>JUNE 2018</vt:lpstr>
      <vt:lpstr>MAY WEBSITE 2018</vt:lpstr>
      <vt:lpstr>MAY 2018</vt:lpstr>
      <vt:lpstr>APRIL WEBSITE 2018</vt:lpstr>
      <vt:lpstr>APRIL 2018</vt:lpstr>
      <vt:lpstr>MARCH WEBSITE 2018</vt:lpstr>
      <vt:lpstr>MARCH 2018</vt:lpstr>
      <vt:lpstr>FEBRUARY 2018 WEBSITE</vt:lpstr>
      <vt:lpstr>FEBRAURY 2018</vt:lpstr>
      <vt:lpstr>JANUARY 2018 WEBSITE</vt:lpstr>
      <vt:lpstr>JANUARY 2018</vt:lpstr>
      <vt:lpstr>DECEMBER WEBSITE 2017</vt:lpstr>
      <vt:lpstr>DECEMBER 2017</vt:lpstr>
      <vt:lpstr>NOVEMBER WEBSITE 2017</vt:lpstr>
      <vt:lpstr>NOVEMBER 2017</vt:lpstr>
      <vt:lpstr>OCTOBER WEBSITE 2017</vt:lpstr>
      <vt:lpstr>OCTOBER 2017</vt:lpstr>
      <vt:lpstr>SEPTEMBER WEBSITE 2017</vt:lpstr>
      <vt:lpstr>September 2017</vt:lpstr>
      <vt:lpstr>AUGUST WEBSITE 2017</vt:lpstr>
      <vt:lpstr>AUGUST 2017</vt:lpstr>
      <vt:lpstr>JULY WEBSITE 2017</vt:lpstr>
      <vt:lpstr>JULY 2017</vt:lpstr>
      <vt:lpstr>JUNE WEBSITE 2017</vt:lpstr>
      <vt:lpstr>JUNE 2017</vt:lpstr>
      <vt:lpstr>MAY WEBSITE 2017</vt:lpstr>
      <vt:lpstr>MAY 2017</vt:lpstr>
      <vt:lpstr>APRIL WEBSITE 2017</vt:lpstr>
      <vt:lpstr>APRIL 2017</vt:lpstr>
      <vt:lpstr>MARCH WEBSITE 2017</vt:lpstr>
      <vt:lpstr>MARCH 2017</vt:lpstr>
      <vt:lpstr>FEBURARY WEBSITE 2017</vt:lpstr>
      <vt:lpstr>FEBURARY 2017</vt:lpstr>
      <vt:lpstr>JANUARY WEBSITE 2017</vt:lpstr>
      <vt:lpstr>JANUARY 2017</vt:lpstr>
      <vt:lpstr>DECEMBER WEBSITE 2016</vt:lpstr>
      <vt:lpstr>DECEMBER 2016</vt:lpstr>
      <vt:lpstr>NOVEMBER WEBSITE 2016</vt:lpstr>
      <vt:lpstr>NOVEMBER 2016</vt:lpstr>
      <vt:lpstr>OCTOBER WEBSITE 2016</vt:lpstr>
      <vt:lpstr>OCTOBER 2016</vt:lpstr>
      <vt:lpstr>SEPTEMBER WEBSITE 2016</vt:lpstr>
      <vt:lpstr>SEPTEMBER 2016</vt:lpstr>
      <vt:lpstr>AUGUST WEBSITE 2016</vt:lpstr>
      <vt:lpstr>AUGUST 2016</vt:lpstr>
      <vt:lpstr>JULY WEBSITE 2016</vt:lpstr>
      <vt:lpstr>JULY 2016</vt:lpstr>
      <vt:lpstr>JUNE WEBSITE 2016</vt:lpstr>
      <vt:lpstr>JUNE 2016</vt:lpstr>
      <vt:lpstr>MAY WEBSITE 2016</vt:lpstr>
      <vt:lpstr>MAY 2016</vt:lpstr>
      <vt:lpstr>APRIL WEBSITE 2016</vt:lpstr>
      <vt:lpstr>APRIL 2016</vt:lpstr>
      <vt:lpstr>MARCH WEBSITE 2016</vt:lpstr>
      <vt:lpstr>MARCH 2016</vt:lpstr>
      <vt:lpstr>FEBRUARY WEBSITE 2016</vt:lpstr>
      <vt:lpstr>FEBRUARY 2016</vt:lpstr>
      <vt:lpstr>JANUARY WEBSITE</vt:lpstr>
      <vt:lpstr>JANUARY 2016</vt:lpstr>
      <vt:lpstr>DECEMEBER WEBSITE</vt:lpstr>
      <vt:lpstr>DECEMBER</vt:lpstr>
      <vt:lpstr>NOVEMBER WEBSITE</vt:lpstr>
      <vt:lpstr>NOVEMBER</vt:lpstr>
      <vt:lpstr>OCTOBER WEBSITE</vt:lpstr>
      <vt:lpstr>October</vt:lpstr>
      <vt:lpstr>September</vt:lpstr>
      <vt:lpstr>August</vt:lpstr>
      <vt:lpstr>JULY</vt:lpstr>
      <vt:lpstr>July Website</vt:lpstr>
      <vt:lpstr>June</vt:lpstr>
      <vt:lpstr>June Website</vt:lpstr>
      <vt:lpstr>March</vt:lpstr>
      <vt:lpstr>March Website</vt:lpstr>
      <vt:lpstr>APRIL</vt:lpstr>
      <vt:lpstr>April Website</vt:lpstr>
      <vt:lpstr>May</vt:lpstr>
      <vt:lpstr>Sheet2</vt:lpstr>
      <vt:lpstr>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ctsi</dc:creator>
  <cp:lastModifiedBy>Angela Sanchez</cp:lastModifiedBy>
  <cp:lastPrinted>2023-09-01T16:26:54Z</cp:lastPrinted>
  <dcterms:created xsi:type="dcterms:W3CDTF">2015-06-03T15:09:06Z</dcterms:created>
  <dcterms:modified xsi:type="dcterms:W3CDTF">2023-12-05T20:54:48Z</dcterms:modified>
</cp:coreProperties>
</file>